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K:\ΣΤΟΙΧΕΙΑ ΤΡΙΜΗΝΙΑΙΑ\ΣΥΓΚΕΝΤΡΩΤΙΚΑ ΑΡΧΕΙΑ\IR Tool Website\2023\Q3.23\"/>
    </mc:Choice>
  </mc:AlternateContent>
  <xr:revisionPtr revIDLastSave="0" documentId="13_ncr:1_{DD7C7800-E0E6-4ED5-8F84-F4F1CC2485A3}" xr6:coauthVersionLast="47" xr6:coauthVersionMax="47" xr10:uidLastSave="{00000000-0000-0000-0000-000000000000}"/>
  <bookViews>
    <workbookView xWindow="-120" yWindow="-120" windowWidth="29040" windowHeight="15840" tabRatio="670" xr2:uid="{00000000-000D-0000-FFFF-FFFF00000000}"/>
  </bookViews>
  <sheets>
    <sheet name="Cover " sheetId="22" r:id="rId1"/>
    <sheet name="Financial highlights" sheetId="49" r:id="rId2"/>
    <sheet name="EPS calculations" sheetId="50" r:id="rId3"/>
    <sheet name="Balance sheet" sheetId="33" r:id="rId4"/>
    <sheet name=" Analysis of selected BS items" sheetId="34" r:id="rId5"/>
    <sheet name="PL" sheetId="29" r:id="rId6"/>
    <sheet name="NII" sheetId="42" r:id="rId7"/>
    <sheet name="NFI" sheetId="41" r:id="rId8"/>
    <sheet name="OPEX" sheetId="43" r:id="rId9"/>
    <sheet name="PL segment view" sheetId="47" r:id="rId10"/>
    <sheet name="Performing loans" sheetId="48" r:id="rId11"/>
    <sheet name="Loan portfolio quality" sheetId="36" r:id="rId12"/>
    <sheet name="IFRS9 stages" sheetId="46" r:id="rId13"/>
    <sheet name="NPE flow decomposition" sheetId="51" r:id="rId14"/>
    <sheet name="Capital adequacy" sheetId="40" r:id="rId15"/>
    <sheet name="Other information" sheetId="35" r:id="rId16"/>
  </sheets>
  <definedNames>
    <definedName name="NPE_flow_decomposition">'Cover '!$E$36</definedName>
    <definedName name="_xlnm.Print_Area" localSheetId="4">' Analysis of selected BS items'!$A$1:$N$58</definedName>
    <definedName name="_xlnm.Print_Area" localSheetId="3">'Balance sheet'!$A$1:$S$57</definedName>
    <definedName name="_xlnm.Print_Area" localSheetId="14">'Capital adequacy'!$A$1:$N$44</definedName>
    <definedName name="_xlnm.Print_Area" localSheetId="0">'Cover '!$A$1:$G$60</definedName>
    <definedName name="_xlnm.Print_Area" localSheetId="2">'EPS calculations'!$A$1:$P$63</definedName>
    <definedName name="_xlnm.Print_Area" localSheetId="1">'Financial highlights'!$A$1:$P$69</definedName>
    <definedName name="_xlnm.Print_Area" localSheetId="12">'IFRS9 stages'!$A$1:$N$46</definedName>
    <definedName name="_xlnm.Print_Area" localSheetId="11">'Loan portfolio quality'!$A$1:$N$78</definedName>
    <definedName name="_xlnm.Print_Area" localSheetId="7">NFI!$A$1:$O$26</definedName>
    <definedName name="_xlnm.Print_Area" localSheetId="6">NII!$A$1:$N$37</definedName>
    <definedName name="_xlnm.Print_Area" localSheetId="13">'NPE flow decomposition'!$A$1:$N$32</definedName>
    <definedName name="_xlnm.Print_Area" localSheetId="8">OPEX!$A$1:$N$30</definedName>
    <definedName name="_xlnm.Print_Area" localSheetId="15">'Other information'!$A$1:$N$60</definedName>
    <definedName name="_xlnm.Print_Area" localSheetId="10">'Performing loans'!$A$1:$K$34</definedName>
    <definedName name="_xlnm.Print_Area" localSheetId="5">PL!$A$1:$N$58</definedName>
    <definedName name="_xlnm.Print_Area" localSheetId="9">'PL segment view'!$A$1:$L$32</definedName>
    <definedName name="_xlnm.Print_Titles" localSheetId="14">'Capital adequacy'!$B:$M</definedName>
    <definedName name="_xlnm.Print_Titles" localSheetId="15">'Other information'!$1:$6</definedName>
    <definedName name="_xlnm.Print_Titles" localSheetId="5">PL!$1:$3</definedName>
    <definedName name="_xlnm.Print_Titles" localSheetId="9">'PL segment view'!$1:$3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34" l="1"/>
  <c r="M25" i="43"/>
  <c r="O35" i="50" l="1"/>
  <c r="M15" i="51" l="1"/>
  <c r="M54" i="49" l="1"/>
  <c r="O54" i="49"/>
  <c r="M52" i="36" l="1"/>
  <c r="M66" i="36"/>
  <c r="M16" i="42"/>
  <c r="M16" i="36"/>
  <c r="M17" i="36" s="1"/>
  <c r="M59" i="36"/>
  <c r="M58" i="36"/>
  <c r="M51" i="36"/>
  <c r="M73" i="36"/>
  <c r="M65" i="36"/>
  <c r="M43" i="36"/>
  <c r="M23" i="36"/>
  <c r="M44" i="36"/>
  <c r="M45" i="36"/>
  <c r="M50" i="36"/>
  <c r="M30" i="36"/>
  <c r="M72" i="36"/>
  <c r="M60" i="36" l="1"/>
  <c r="M53" i="36"/>
  <c r="M74" i="36"/>
  <c r="M31" i="36"/>
  <c r="M54" i="36" s="1"/>
  <c r="M67" i="36"/>
  <c r="M46" i="36"/>
  <c r="M24" i="36"/>
  <c r="M47" i="36" s="1"/>
  <c r="J16" i="48" l="1"/>
  <c r="M23" i="42" l="1"/>
  <c r="M25" i="42" l="1"/>
  <c r="O48" i="50"/>
  <c r="N48" i="50"/>
  <c r="N35" i="50"/>
  <c r="O26" i="50"/>
  <c r="N26" i="50"/>
  <c r="N54" i="49" l="1"/>
  <c r="N23" i="41"/>
  <c r="L20" i="34"/>
  <c r="L44" i="35"/>
  <c r="L23" i="43" l="1"/>
  <c r="L25" i="43" s="1"/>
  <c r="L23" i="42"/>
  <c r="L15" i="51"/>
  <c r="L23" i="36"/>
  <c r="L24" i="36" s="1"/>
  <c r="L16" i="42"/>
  <c r="L59" i="36"/>
  <c r="L16" i="36"/>
  <c r="L60" i="36" s="1"/>
  <c r="I16" i="48"/>
  <c r="L49" i="34"/>
  <c r="L53" i="34" s="1"/>
  <c r="L52" i="36"/>
  <c r="L39" i="34"/>
  <c r="L44" i="34" s="1"/>
  <c r="M23" i="41"/>
  <c r="L45" i="36"/>
  <c r="L50" i="36"/>
  <c r="L32" i="34"/>
  <c r="L19" i="34"/>
  <c r="L24" i="34"/>
  <c r="L30" i="36"/>
  <c r="L74" i="36" s="1"/>
  <c r="L71" i="36"/>
  <c r="L51" i="36"/>
  <c r="L65" i="36"/>
  <c r="L21" i="34"/>
  <c r="L72" i="36"/>
  <c r="L23" i="34"/>
  <c r="L25" i="34"/>
  <c r="L22" i="34"/>
  <c r="L73" i="36"/>
  <c r="L40" i="36"/>
  <c r="L58" i="36"/>
  <c r="L64" i="36"/>
  <c r="L44" i="36"/>
  <c r="L66" i="36"/>
  <c r="L67" i="36" l="1"/>
  <c r="L25" i="42"/>
  <c r="L43" i="34"/>
  <c r="L42" i="34"/>
  <c r="L46" i="36"/>
  <c r="L17" i="36"/>
  <c r="L47" i="36" s="1"/>
  <c r="L57" i="36"/>
  <c r="L53" i="36"/>
  <c r="I20" i="48"/>
  <c r="I30" i="48"/>
  <c r="L43" i="36"/>
  <c r="L31" i="36"/>
  <c r="L68" i="36"/>
  <c r="L54" i="36" l="1"/>
  <c r="L45" i="34"/>
  <c r="L61" i="36"/>
  <c r="L75" i="36"/>
  <c r="L54" i="49" l="1"/>
  <c r="K20" i="50" l="1"/>
  <c r="K16" i="49"/>
  <c r="K20" i="34"/>
  <c r="K55" i="49"/>
  <c r="K23" i="43" l="1"/>
  <c r="K25" i="43" s="1"/>
  <c r="K16" i="42"/>
  <c r="K23" i="34"/>
  <c r="K24" i="34"/>
  <c r="K22" i="34"/>
  <c r="K25" i="34"/>
  <c r="L23" i="41"/>
  <c r="K49" i="34"/>
  <c r="K53" i="34" s="1"/>
  <c r="K58" i="49"/>
  <c r="K21" i="34"/>
  <c r="K19" i="34"/>
  <c r="K21" i="49"/>
  <c r="K57" i="49" s="1"/>
  <c r="K54" i="49"/>
  <c r="K22" i="29"/>
  <c r="K13" i="29"/>
  <c r="K39" i="34"/>
  <c r="K43" i="34" s="1"/>
  <c r="K23" i="42"/>
  <c r="K32" i="34"/>
  <c r="K25" i="42" l="1"/>
  <c r="K23" i="49"/>
  <c r="K29" i="49" s="1"/>
  <c r="K42" i="34"/>
  <c r="K44" i="34"/>
  <c r="K24" i="49" l="1"/>
  <c r="K30" i="49" s="1"/>
  <c r="K37" i="49"/>
  <c r="K50" i="49" s="1"/>
  <c r="K45" i="34"/>
  <c r="K44" i="35"/>
  <c r="K15" i="51" l="1"/>
  <c r="H30" i="48"/>
  <c r="K51" i="36"/>
  <c r="K44" i="36"/>
  <c r="K45" i="36"/>
  <c r="K52" i="36"/>
  <c r="K16" i="36"/>
  <c r="K60" i="36" s="1"/>
  <c r="K23" i="36"/>
  <c r="K67" i="36" s="1"/>
  <c r="K72" i="36"/>
  <c r="K66" i="36"/>
  <c r="K30" i="36"/>
  <c r="K31" i="36" s="1"/>
  <c r="H16" i="48"/>
  <c r="K58" i="36"/>
  <c r="K65" i="36"/>
  <c r="K73" i="36"/>
  <c r="K59" i="36"/>
  <c r="H20" i="48" l="1"/>
  <c r="K74" i="36"/>
  <c r="K53" i="36"/>
  <c r="K46" i="36"/>
  <c r="K24" i="36"/>
  <c r="K17" i="36"/>
  <c r="K43" i="36"/>
  <c r="K50" i="36"/>
  <c r="K54" i="36" l="1"/>
  <c r="K47" i="36"/>
  <c r="J44" i="35" l="1"/>
  <c r="G30" i="48" l="1"/>
  <c r="J23" i="43" l="1"/>
  <c r="J25" i="43" s="1"/>
  <c r="J54" i="49"/>
  <c r="J16" i="42"/>
  <c r="K56" i="49"/>
  <c r="J43" i="36"/>
  <c r="J21" i="34"/>
  <c r="K23" i="41"/>
  <c r="J23" i="34"/>
  <c r="J20" i="34"/>
  <c r="J23" i="42"/>
  <c r="J51" i="36"/>
  <c r="J23" i="36"/>
  <c r="J24" i="36" s="1"/>
  <c r="J49" i="34"/>
  <c r="J53" i="34" s="1"/>
  <c r="J15" i="51"/>
  <c r="J24" i="34"/>
  <c r="J32" i="34"/>
  <c r="J39" i="34"/>
  <c r="J44" i="34" s="1"/>
  <c r="J58" i="36"/>
  <c r="J52" i="36"/>
  <c r="J65" i="36"/>
  <c r="G16" i="48"/>
  <c r="J59" i="36"/>
  <c r="J45" i="36"/>
  <c r="J30" i="36"/>
  <c r="J31" i="36" s="1"/>
  <c r="J22" i="34"/>
  <c r="J25" i="34"/>
  <c r="J44" i="36"/>
  <c r="J66" i="36"/>
  <c r="J72" i="36"/>
  <c r="J73" i="36"/>
  <c r="J16" i="36"/>
  <c r="J60" i="36" s="1"/>
  <c r="J19" i="34"/>
  <c r="E16" i="42"/>
  <c r="D16" i="42" l="1"/>
  <c r="J25" i="42"/>
  <c r="H16" i="42"/>
  <c r="I16" i="42"/>
  <c r="C16" i="42"/>
  <c r="G16" i="42"/>
  <c r="C23" i="42"/>
  <c r="F16" i="42"/>
  <c r="J50" i="36"/>
  <c r="J17" i="36"/>
  <c r="J43" i="34"/>
  <c r="J74" i="36"/>
  <c r="J42" i="34"/>
  <c r="J67" i="36"/>
  <c r="J53" i="36"/>
  <c r="J46" i="36"/>
  <c r="C25" i="42" l="1"/>
  <c r="J45" i="34"/>
  <c r="J54" i="36"/>
  <c r="J47" i="36"/>
  <c r="F15" i="51" l="1"/>
  <c r="C15" i="51"/>
  <c r="G15" i="51"/>
  <c r="D15" i="51"/>
  <c r="E15" i="51"/>
  <c r="I15" i="51"/>
  <c r="H15" i="51"/>
  <c r="I23" i="36" l="1"/>
  <c r="I24" i="36" s="1"/>
  <c r="I30" i="36"/>
  <c r="I31" i="36" s="1"/>
  <c r="F30" i="36" l="1"/>
  <c r="F31" i="36" s="1"/>
  <c r="H30" i="36"/>
  <c r="H31" i="36" s="1"/>
  <c r="H23" i="36"/>
  <c r="H24" i="36" s="1"/>
  <c r="G23" i="36"/>
  <c r="G24" i="36" s="1"/>
  <c r="G30" i="36"/>
  <c r="G31" i="36" s="1"/>
  <c r="F23" i="36"/>
  <c r="F24" i="36" s="1"/>
  <c r="E30" i="36" l="1"/>
  <c r="E31" i="36" s="1"/>
  <c r="E23" i="36"/>
  <c r="E24" i="36" s="1"/>
  <c r="D30" i="36" l="1"/>
  <c r="D31" i="36" s="1"/>
  <c r="D23" i="36"/>
  <c r="D24" i="36" s="1"/>
  <c r="C30" i="36" l="1"/>
  <c r="C31" i="36" s="1"/>
  <c r="C23" i="36"/>
  <c r="C24" i="36" s="1"/>
  <c r="D16" i="36" l="1"/>
  <c r="D17" i="36" s="1"/>
  <c r="C16" i="36"/>
  <c r="C17" i="36" s="1"/>
  <c r="E16" i="36" l="1"/>
  <c r="E17" i="36" s="1"/>
  <c r="F16" i="36" l="1"/>
  <c r="G16" i="36" l="1"/>
  <c r="G17" i="36" s="1"/>
  <c r="H16" i="36"/>
  <c r="H17" i="36" s="1"/>
  <c r="I16" i="36"/>
  <c r="I17" i="36" s="1"/>
  <c r="I23" i="42" l="1"/>
  <c r="I25" i="42" s="1"/>
  <c r="C54" i="49" l="1"/>
  <c r="D23" i="41" l="1"/>
  <c r="D23" i="43" l="1"/>
  <c r="D25" i="43" s="1"/>
  <c r="I23" i="43"/>
  <c r="I25" i="43" s="1"/>
  <c r="F23" i="43"/>
  <c r="F25" i="43" s="1"/>
  <c r="H23" i="43"/>
  <c r="H25" i="43" s="1"/>
  <c r="G23" i="43"/>
  <c r="G25" i="43" s="1"/>
  <c r="C23" i="43"/>
  <c r="C25" i="43" s="1"/>
  <c r="E23" i="43"/>
  <c r="E25" i="43" s="1"/>
  <c r="C16" i="48"/>
  <c r="F16" i="48" l="1"/>
  <c r="F20" i="48" s="1"/>
  <c r="I25" i="34" l="1"/>
  <c r="F30" i="48"/>
  <c r="I44" i="35"/>
  <c r="G20" i="48" l="1"/>
  <c r="I49" i="34"/>
  <c r="I50" i="36"/>
  <c r="I44" i="36"/>
  <c r="I43" i="36"/>
  <c r="I32" i="34"/>
  <c r="I22" i="34"/>
  <c r="I54" i="49"/>
  <c r="I23" i="34"/>
  <c r="I60" i="36"/>
  <c r="I58" i="36"/>
  <c r="I24" i="34"/>
  <c r="I47" i="36"/>
  <c r="I52" i="36"/>
  <c r="I73" i="36"/>
  <c r="I21" i="34"/>
  <c r="I19" i="34"/>
  <c r="J23" i="41"/>
  <c r="I53" i="34"/>
  <c r="I67" i="36"/>
  <c r="I59" i="36"/>
  <c r="I20" i="34"/>
  <c r="I45" i="36"/>
  <c r="I51" i="36"/>
  <c r="I65" i="36"/>
  <c r="I39" i="34"/>
  <c r="I43" i="34" s="1"/>
  <c r="I46" i="36"/>
  <c r="I54" i="36"/>
  <c r="I66" i="36"/>
  <c r="I72" i="36"/>
  <c r="I42" i="34" l="1"/>
  <c r="I44" i="34"/>
  <c r="I53" i="36"/>
  <c r="I74" i="36"/>
  <c r="I45" i="34" l="1"/>
  <c r="C30" i="48" l="1"/>
  <c r="E30" i="48" l="1"/>
  <c r="E16" i="48"/>
  <c r="E20" i="48" l="1"/>
  <c r="H54" i="49" l="1"/>
  <c r="H44" i="36" l="1"/>
  <c r="H54" i="36" l="1"/>
  <c r="H46" i="36"/>
  <c r="H52" i="36"/>
  <c r="H59" i="36"/>
  <c r="H43" i="36"/>
  <c r="H60" i="36"/>
  <c r="H45" i="36"/>
  <c r="H65" i="36"/>
  <c r="H47" i="36"/>
  <c r="H53" i="36"/>
  <c r="H50" i="36"/>
  <c r="H72" i="36"/>
  <c r="H51" i="36"/>
  <c r="H67" i="36"/>
  <c r="H73" i="36"/>
  <c r="H66" i="36"/>
  <c r="H58" i="36"/>
  <c r="H74" i="36" l="1"/>
  <c r="H23" i="42" l="1"/>
  <c r="H25" i="42" l="1"/>
  <c r="H44" i="35"/>
  <c r="H49" i="34" l="1"/>
  <c r="H53" i="34" s="1"/>
  <c r="H39" i="34"/>
  <c r="H43" i="34" s="1"/>
  <c r="H42" i="34" l="1"/>
  <c r="H44" i="34"/>
  <c r="H45" i="34" l="1"/>
  <c r="H21" i="34" l="1"/>
  <c r="H32" i="34"/>
  <c r="H25" i="34"/>
  <c r="H20" i="34"/>
  <c r="H23" i="34"/>
  <c r="H22" i="34"/>
  <c r="H24" i="34"/>
  <c r="H19" i="34"/>
  <c r="I23" i="41" l="1"/>
  <c r="G44" i="35" l="1"/>
  <c r="F44" i="35"/>
  <c r="D30" i="48" l="1"/>
  <c r="D16" i="48" l="1"/>
  <c r="D20" i="48" s="1"/>
  <c r="E23" i="42" l="1"/>
  <c r="E25" i="42" s="1"/>
  <c r="G23" i="42"/>
  <c r="G25" i="42" s="1"/>
  <c r="F23" i="42"/>
  <c r="F25" i="42" s="1"/>
  <c r="D23" i="42"/>
  <c r="D25" i="42" s="1"/>
  <c r="H23" i="41" l="1"/>
  <c r="G23" i="41"/>
  <c r="F23" i="41"/>
  <c r="E23" i="41"/>
  <c r="F54" i="49" l="1"/>
  <c r="D54" i="49" l="1"/>
  <c r="G54" i="49"/>
  <c r="E54" i="49"/>
  <c r="F32" i="34" l="1"/>
  <c r="G32" i="34"/>
  <c r="E32" i="34"/>
  <c r="D32" i="34"/>
  <c r="G25" i="34" l="1"/>
  <c r="G21" i="34"/>
  <c r="G49" i="34"/>
  <c r="G53" i="34" s="1"/>
  <c r="G19" i="34"/>
  <c r="G39" i="34"/>
  <c r="G42" i="34" s="1"/>
  <c r="G23" i="34"/>
  <c r="G22" i="34"/>
  <c r="G20" i="34"/>
  <c r="G24" i="34"/>
  <c r="G44" i="34" l="1"/>
  <c r="G43" i="34"/>
  <c r="G45" i="34" l="1"/>
  <c r="G43" i="36" l="1"/>
  <c r="G60" i="36"/>
  <c r="G51" i="36"/>
  <c r="G54" i="36"/>
  <c r="G45" i="36"/>
  <c r="G58" i="36"/>
  <c r="G50" i="36"/>
  <c r="G52" i="36"/>
  <c r="G46" i="36"/>
  <c r="G73" i="36"/>
  <c r="G44" i="36"/>
  <c r="G59" i="36"/>
  <c r="G72" i="36"/>
  <c r="G47" i="36"/>
  <c r="G65" i="36"/>
  <c r="G53" i="36"/>
  <c r="G66" i="36"/>
  <c r="G67" i="36"/>
  <c r="G74" i="36" l="1"/>
  <c r="E49" i="34" l="1"/>
  <c r="E53" i="34" s="1"/>
  <c r="C49" i="34"/>
  <c r="C53" i="34" s="1"/>
  <c r="F49" i="34"/>
  <c r="F53" i="34" s="1"/>
  <c r="D49" i="34"/>
  <c r="D53" i="34" s="1"/>
  <c r="F17" i="36" l="1"/>
  <c r="F43" i="36" l="1"/>
  <c r="C20" i="48"/>
  <c r="F54" i="36"/>
  <c r="F50" i="36"/>
  <c r="F44" i="36"/>
  <c r="F47" i="36"/>
  <c r="F45" i="36"/>
  <c r="F51" i="36"/>
  <c r="F65" i="36"/>
  <c r="F52" i="36"/>
  <c r="F59" i="36"/>
  <c r="F72" i="36"/>
  <c r="F46" i="36"/>
  <c r="F53" i="36"/>
  <c r="F60" i="36"/>
  <c r="F66" i="36"/>
  <c r="F67" i="36"/>
  <c r="F73" i="36"/>
  <c r="F58" i="36"/>
  <c r="F25" i="34" l="1"/>
  <c r="F21" i="34"/>
  <c r="F20" i="34"/>
  <c r="F19" i="34"/>
  <c r="F24" i="34"/>
  <c r="F74" i="36"/>
  <c r="F23" i="34"/>
  <c r="F39" i="34"/>
  <c r="F44" i="34" s="1"/>
  <c r="F22" i="34"/>
  <c r="F42" i="34" l="1"/>
  <c r="F43" i="34"/>
  <c r="F45" i="34" l="1"/>
  <c r="E40" i="36" l="1"/>
  <c r="E61" i="36" l="1"/>
  <c r="E44" i="35"/>
  <c r="E47" i="36"/>
  <c r="E54" i="36"/>
  <c r="E50" i="36"/>
  <c r="E53" i="36"/>
  <c r="E57" i="36"/>
  <c r="E65" i="36"/>
  <c r="E43" i="36"/>
  <c r="E59" i="36"/>
  <c r="E58" i="36"/>
  <c r="E72" i="36"/>
  <c r="E52" i="36"/>
  <c r="E46" i="36"/>
  <c r="E71" i="36"/>
  <c r="E75" i="36"/>
  <c r="E60" i="36"/>
  <c r="E44" i="36"/>
  <c r="E66" i="36"/>
  <c r="E45" i="36"/>
  <c r="E51" i="36"/>
  <c r="E67" i="36"/>
  <c r="E73" i="36"/>
  <c r="E64" i="36"/>
  <c r="E68" i="36"/>
  <c r="E74" i="36" l="1"/>
  <c r="E21" i="34"/>
  <c r="E25" i="34" l="1"/>
  <c r="E23" i="34"/>
  <c r="E22" i="34"/>
  <c r="E39" i="34"/>
  <c r="E43" i="34" s="1"/>
  <c r="E24" i="34"/>
  <c r="E19" i="34"/>
  <c r="E20" i="34"/>
  <c r="E42" i="34" l="1"/>
  <c r="E44" i="34"/>
  <c r="E45" i="34" l="1"/>
  <c r="D40" i="36" l="1"/>
  <c r="D20" i="34"/>
  <c r="D21" i="34"/>
  <c r="D61" i="36" l="1"/>
  <c r="D44" i="35"/>
  <c r="D47" i="36"/>
  <c r="D54" i="36"/>
  <c r="D50" i="36"/>
  <c r="D25" i="34"/>
  <c r="D22" i="34"/>
  <c r="D23" i="34"/>
  <c r="D19" i="34"/>
  <c r="D43" i="36"/>
  <c r="D57" i="36"/>
  <c r="D24" i="34"/>
  <c r="D53" i="36"/>
  <c r="D44" i="36"/>
  <c r="D45" i="36"/>
  <c r="D73" i="36"/>
  <c r="D66" i="36"/>
  <c r="D46" i="36"/>
  <c r="D65" i="36"/>
  <c r="D64" i="36"/>
  <c r="D51" i="36"/>
  <c r="D75" i="36"/>
  <c r="D52" i="36"/>
  <c r="D67" i="36"/>
  <c r="D58" i="36"/>
  <c r="D68" i="36"/>
  <c r="D59" i="36"/>
  <c r="D71" i="36"/>
  <c r="D60" i="36"/>
  <c r="D72" i="36"/>
  <c r="D39" i="34"/>
  <c r="D43" i="34" s="1"/>
  <c r="D74" i="36" l="1"/>
  <c r="D44" i="34"/>
  <c r="D42" i="34"/>
  <c r="D45" i="34" l="1"/>
  <c r="C44" i="35" l="1"/>
  <c r="C40" i="36" l="1"/>
  <c r="C20" i="34"/>
  <c r="C61" i="36" l="1"/>
  <c r="C47" i="36"/>
  <c r="C54" i="36"/>
  <c r="C46" i="36"/>
  <c r="C43" i="36"/>
  <c r="C23" i="34"/>
  <c r="C24" i="34"/>
  <c r="C51" i="36"/>
  <c r="C44" i="36"/>
  <c r="C58" i="36"/>
  <c r="C19" i="34"/>
  <c r="C75" i="36"/>
  <c r="C52" i="36"/>
  <c r="C53" i="36"/>
  <c r="C25" i="34"/>
  <c r="C39" i="34"/>
  <c r="C42" i="34" s="1"/>
  <c r="C45" i="36"/>
  <c r="C72" i="36"/>
  <c r="C22" i="34"/>
  <c r="C65" i="36"/>
  <c r="C59" i="36"/>
  <c r="C68" i="36"/>
  <c r="C64" i="36"/>
  <c r="C50" i="36"/>
  <c r="C66" i="36"/>
  <c r="C57" i="36"/>
  <c r="C67" i="36"/>
  <c r="C71" i="36"/>
  <c r="C60" i="36"/>
  <c r="C73" i="36"/>
  <c r="C74" i="36" l="1"/>
  <c r="C43" i="34"/>
  <c r="C44" i="34"/>
  <c r="C45" i="34" l="1"/>
  <c r="B28" i="35" l="1"/>
  <c r="I58" i="49" l="1"/>
  <c r="J58" i="49"/>
  <c r="J22" i="29" l="1"/>
  <c r="J21" i="49"/>
  <c r="J56" i="49"/>
  <c r="J16" i="49" l="1"/>
  <c r="J23" i="49" s="1"/>
  <c r="J24" i="49" s="1"/>
  <c r="J30" i="49" s="1"/>
  <c r="J13" i="29"/>
  <c r="J57" i="49"/>
  <c r="J29" i="49" l="1"/>
  <c r="J37" i="49" l="1"/>
  <c r="J50" i="49" s="1"/>
  <c r="J55" i="49" l="1"/>
  <c r="I21" i="49" l="1"/>
  <c r="I22" i="29"/>
  <c r="I56" i="49"/>
  <c r="I16" i="49" l="1"/>
  <c r="I23" i="49" s="1"/>
  <c r="I29" i="49" s="1"/>
  <c r="I13" i="29"/>
  <c r="I57" i="49"/>
  <c r="I20" i="50" l="1"/>
  <c r="I24" i="49"/>
  <c r="I30" i="49" s="1"/>
  <c r="I37" i="49"/>
  <c r="I50" i="49" s="1"/>
  <c r="H58" i="49" l="1"/>
  <c r="H21" i="49" l="1"/>
  <c r="H22" i="29"/>
  <c r="H56" i="49"/>
  <c r="H16" i="49" l="1"/>
  <c r="H23" i="49" s="1"/>
  <c r="H20" i="50"/>
  <c r="H57" i="49"/>
  <c r="G58" i="49"/>
  <c r="F58" i="49"/>
  <c r="E58" i="49"/>
  <c r="D58" i="49"/>
  <c r="C58" i="49"/>
  <c r="H13" i="29"/>
  <c r="H24" i="49" l="1"/>
  <c r="H30" i="49" s="1"/>
  <c r="H29" i="49"/>
  <c r="I55" i="49" l="1"/>
  <c r="H37" i="49"/>
  <c r="H50" i="49" s="1"/>
  <c r="H55" i="49" l="1"/>
  <c r="G21" i="49" l="1"/>
  <c r="G22" i="29"/>
  <c r="G56" i="49"/>
  <c r="G16" i="49" l="1"/>
  <c r="G23" i="49" s="1"/>
  <c r="G24" i="49" s="1"/>
  <c r="G20" i="50"/>
  <c r="G57" i="49"/>
  <c r="G13" i="29"/>
  <c r="G29" i="49" l="1"/>
  <c r="G30" i="49"/>
  <c r="G37" i="49" l="1"/>
  <c r="G50" i="49" s="1"/>
  <c r="F22" i="29" l="1"/>
  <c r="F56" i="49"/>
  <c r="F21" i="49"/>
  <c r="F16" i="49"/>
  <c r="F23" i="49" l="1"/>
  <c r="F29" i="49" s="1"/>
  <c r="F34" i="49" s="1"/>
  <c r="G55" i="49"/>
  <c r="F57" i="49"/>
  <c r="F13" i="29"/>
  <c r="F20" i="50" l="1"/>
  <c r="F24" i="50" s="1"/>
  <c r="F27" i="50" s="1"/>
  <c r="F28" i="50" s="1"/>
  <c r="F24" i="49"/>
  <c r="F30" i="49" s="1"/>
  <c r="F37" i="49"/>
  <c r="F50" i="49" s="1"/>
  <c r="F30" i="50" l="1"/>
  <c r="F53" i="49"/>
  <c r="F48" i="49"/>
  <c r="F36" i="49"/>
  <c r="F51" i="49" l="1"/>
  <c r="F52" i="49"/>
  <c r="F49" i="49"/>
  <c r="E21" i="49" l="1"/>
  <c r="E56" i="49"/>
  <c r="E22" i="29"/>
  <c r="E16" i="49" l="1"/>
  <c r="E13" i="29"/>
  <c r="F55" i="49"/>
  <c r="E57" i="49"/>
  <c r="E23" i="49"/>
  <c r="E24" i="49" s="1"/>
  <c r="E30" i="49" s="1"/>
  <c r="E20" i="50" l="1"/>
  <c r="E24" i="50" s="1"/>
  <c r="E30" i="50" s="1"/>
  <c r="E29" i="49"/>
  <c r="E34" i="49" s="1"/>
  <c r="E27" i="50" l="1"/>
  <c r="E28" i="50" s="1"/>
  <c r="E37" i="49"/>
  <c r="E50" i="49" s="1"/>
  <c r="E36" i="49"/>
  <c r="E53" i="49"/>
  <c r="E48" i="49"/>
  <c r="E52" i="49" l="1"/>
  <c r="E51" i="49"/>
  <c r="E49" i="49"/>
  <c r="C21" i="49" l="1"/>
  <c r="D21" i="49"/>
  <c r="C56" i="49"/>
  <c r="D22" i="29"/>
  <c r="C22" i="29"/>
  <c r="D56" i="49"/>
  <c r="D16" i="49" l="1"/>
  <c r="C16" i="49"/>
  <c r="C23" i="49" s="1"/>
  <c r="C29" i="49" s="1"/>
  <c r="C55" i="49"/>
  <c r="D55" i="49"/>
  <c r="E55" i="49"/>
  <c r="D13" i="29"/>
  <c r="D57" i="49"/>
  <c r="D23" i="49"/>
  <c r="C57" i="49"/>
  <c r="C13" i="29"/>
  <c r="D20" i="50" l="1"/>
  <c r="C24" i="49"/>
  <c r="C30" i="49" s="1"/>
  <c r="C20" i="50"/>
  <c r="C24" i="50" s="1"/>
  <c r="C27" i="50" s="1"/>
  <c r="C28" i="50" s="1"/>
  <c r="C34" i="49"/>
  <c r="C53" i="49" s="1"/>
  <c r="C37" i="49"/>
  <c r="C50" i="49" s="1"/>
  <c r="D24" i="50"/>
  <c r="D27" i="50" s="1"/>
  <c r="D28" i="50" s="1"/>
  <c r="D24" i="49"/>
  <c r="D30" i="49" s="1"/>
  <c r="D29" i="49"/>
  <c r="D34" i="49" s="1"/>
  <c r="C30" i="50" l="1"/>
  <c r="D30" i="50"/>
  <c r="C36" i="49"/>
  <c r="D37" i="49"/>
  <c r="D50" i="49" s="1"/>
  <c r="C48" i="49"/>
  <c r="C52" i="49" l="1"/>
  <c r="C51" i="49"/>
  <c r="C49" i="49"/>
  <c r="D53" i="49"/>
  <c r="D48" i="49"/>
  <c r="D36" i="49"/>
  <c r="D51" i="49" l="1"/>
  <c r="D52" i="49"/>
  <c r="D49" i="49"/>
  <c r="J20" i="50" l="1"/>
  <c r="H40" i="36" l="1"/>
  <c r="H64" i="36"/>
  <c r="H71" i="36"/>
  <c r="H57" i="36"/>
  <c r="G40" i="36"/>
  <c r="G57" i="36"/>
  <c r="G64" i="36"/>
  <c r="G71" i="36"/>
  <c r="I40" i="36"/>
  <c r="I71" i="36"/>
  <c r="I57" i="36"/>
  <c r="I64" i="36"/>
  <c r="F40" i="36"/>
  <c r="F64" i="36"/>
  <c r="F71" i="36"/>
  <c r="F57" i="36"/>
  <c r="J40" i="36" l="1"/>
  <c r="J71" i="36"/>
  <c r="J64" i="36"/>
  <c r="J57" i="36"/>
  <c r="K40" i="36"/>
  <c r="K64" i="36"/>
  <c r="K71" i="36"/>
  <c r="K57" i="36"/>
  <c r="F61" i="36"/>
  <c r="F68" i="36"/>
  <c r="F75" i="36"/>
  <c r="I68" i="36"/>
  <c r="I75" i="36"/>
  <c r="I61" i="36"/>
  <c r="G75" i="36"/>
  <c r="G61" i="36"/>
  <c r="G68" i="36"/>
  <c r="H68" i="36"/>
  <c r="H61" i="36"/>
  <c r="H75" i="36"/>
  <c r="K75" i="36" l="1"/>
  <c r="K61" i="36"/>
  <c r="K68" i="36"/>
  <c r="J75" i="36"/>
  <c r="J61" i="36"/>
  <c r="J68" i="36"/>
  <c r="R40" i="33" l="1"/>
  <c r="R31" i="33"/>
  <c r="R33" i="33"/>
  <c r="R34" i="33"/>
  <c r="R35" i="33"/>
  <c r="R36" i="33"/>
  <c r="R28" i="33"/>
  <c r="R32" i="33"/>
  <c r="R23" i="33"/>
  <c r="R21" i="33"/>
  <c r="R20" i="33"/>
  <c r="R18" i="33"/>
  <c r="R19" i="33"/>
  <c r="R17" i="33"/>
  <c r="R14" i="33"/>
  <c r="R39" i="33" l="1"/>
  <c r="R22" i="33"/>
  <c r="R29" i="33"/>
  <c r="R27" i="33"/>
  <c r="R12" i="33"/>
  <c r="M22" i="34" l="1"/>
  <c r="M32" i="34"/>
  <c r="R16" i="33"/>
  <c r="R11" i="33"/>
  <c r="R13" i="33"/>
  <c r="R41" i="33"/>
  <c r="R38" i="33"/>
  <c r="M23" i="34" l="1"/>
  <c r="M20" i="34"/>
  <c r="M25" i="34"/>
  <c r="M24" i="34"/>
  <c r="R15" i="33"/>
  <c r="R44" i="33"/>
  <c r="R43" i="33" l="1"/>
  <c r="R42" i="33"/>
  <c r="J20" i="48" l="1"/>
  <c r="J30" i="48"/>
  <c r="M19" i="34"/>
  <c r="M21" i="34"/>
  <c r="M44" i="35" l="1"/>
  <c r="M23" i="43" l="1"/>
  <c r="L58" i="49" l="1"/>
  <c r="L22" i="29" l="1"/>
  <c r="L21" i="49"/>
  <c r="L56" i="49"/>
  <c r="L16" i="49" l="1"/>
  <c r="L23" i="49" s="1"/>
  <c r="L13" i="29"/>
  <c r="L20" i="50"/>
  <c r="L57" i="49"/>
  <c r="L29" i="49" l="1"/>
  <c r="L24" i="49"/>
  <c r="L30" i="49" s="1"/>
  <c r="L37" i="49" l="1"/>
  <c r="L50" i="49" s="1"/>
  <c r="L34" i="49" l="1"/>
  <c r="L24" i="50"/>
  <c r="L36" i="49" l="1"/>
  <c r="L53" i="49"/>
  <c r="L48" i="49"/>
  <c r="L30" i="50"/>
  <c r="L27" i="50"/>
  <c r="L28" i="50" s="1"/>
  <c r="L51" i="49" l="1"/>
  <c r="L49" i="49"/>
  <c r="L52" i="49"/>
  <c r="K24" i="50" l="1"/>
  <c r="K34" i="49"/>
  <c r="K53" i="49" l="1"/>
  <c r="K36" i="49"/>
  <c r="K48" i="49"/>
  <c r="K30" i="50"/>
  <c r="K27" i="50"/>
  <c r="K28" i="50" s="1"/>
  <c r="L55" i="49"/>
  <c r="K52" i="49" l="1"/>
  <c r="K51" i="49"/>
  <c r="K49" i="49"/>
  <c r="I34" i="49" l="1"/>
  <c r="I24" i="50"/>
  <c r="I27" i="50" l="1"/>
  <c r="I28" i="50" s="1"/>
  <c r="I30" i="50"/>
  <c r="I36" i="49"/>
  <c r="I48" i="49"/>
  <c r="I53" i="49"/>
  <c r="I49" i="49" l="1"/>
  <c r="I51" i="49"/>
  <c r="I52" i="49"/>
  <c r="H34" i="49" l="1"/>
  <c r="H24" i="50"/>
  <c r="H27" i="50" l="1"/>
  <c r="H28" i="50" s="1"/>
  <c r="H30" i="50"/>
  <c r="H36" i="49"/>
  <c r="H48" i="49"/>
  <c r="H53" i="49"/>
  <c r="H49" i="49" l="1"/>
  <c r="H52" i="49"/>
  <c r="H51" i="49"/>
  <c r="G34" i="49" l="1"/>
  <c r="G24" i="50"/>
  <c r="G30" i="50" l="1"/>
  <c r="G27" i="50"/>
  <c r="G28" i="50" s="1"/>
  <c r="G48" i="49"/>
  <c r="G36" i="49"/>
  <c r="G53" i="49"/>
  <c r="G51" i="49" l="1"/>
  <c r="G49" i="49"/>
  <c r="G52" i="49"/>
  <c r="J24" i="50" l="1"/>
  <c r="J34" i="49"/>
  <c r="J36" i="49" l="1"/>
  <c r="J53" i="49"/>
  <c r="J48" i="49"/>
  <c r="J27" i="50"/>
  <c r="J28" i="50" s="1"/>
  <c r="J30" i="50"/>
  <c r="J52" i="49" l="1"/>
  <c r="J49" i="49"/>
  <c r="J51" i="49"/>
  <c r="L12" i="43" l="1"/>
  <c r="K12" i="43" l="1"/>
  <c r="J12" i="43" l="1"/>
  <c r="I12" i="43" l="1"/>
  <c r="H12" i="43" l="1"/>
  <c r="G12" i="43" l="1"/>
  <c r="F12" i="43" l="1"/>
  <c r="E12" i="43" l="1"/>
  <c r="C12" i="43" l="1"/>
  <c r="D12" i="43"/>
  <c r="M58" i="49" l="1"/>
  <c r="M21" i="49" l="1"/>
  <c r="M56" i="49"/>
  <c r="M16" i="29"/>
  <c r="M12" i="43"/>
  <c r="M22" i="29"/>
  <c r="M16" i="49" l="1"/>
  <c r="M23" i="49" s="1"/>
  <c r="M29" i="49" s="1"/>
  <c r="M20" i="50"/>
  <c r="M24" i="50" s="1"/>
  <c r="M13" i="29"/>
  <c r="M24" i="49"/>
  <c r="M30" i="49" s="1"/>
  <c r="M57" i="49"/>
  <c r="M37" i="49" l="1"/>
  <c r="M50" i="49" s="1"/>
  <c r="M34" i="49"/>
  <c r="M30" i="50"/>
  <c r="M33" i="50" s="1"/>
  <c r="M27" i="50"/>
  <c r="M28" i="50" s="1"/>
  <c r="M36" i="49" l="1"/>
  <c r="M39" i="50"/>
  <c r="M46" i="50" s="1"/>
  <c r="M49" i="50" s="1"/>
  <c r="M50" i="50" s="1"/>
  <c r="M36" i="50"/>
  <c r="M37" i="50" s="1"/>
  <c r="M48" i="49"/>
  <c r="M53" i="49"/>
  <c r="M51" i="49"/>
  <c r="M52" i="49"/>
  <c r="M49" i="49"/>
  <c r="M44" i="29" l="1"/>
  <c r="M46" i="29" l="1"/>
  <c r="M47" i="29" s="1"/>
  <c r="M45" i="29"/>
  <c r="L33" i="50" l="1"/>
  <c r="L16" i="29" l="1"/>
  <c r="L44" i="29"/>
  <c r="L36" i="50"/>
  <c r="L37" i="50" s="1"/>
  <c r="L39" i="50"/>
  <c r="L46" i="50" s="1"/>
  <c r="L49" i="50" s="1"/>
  <c r="L50" i="50" s="1"/>
  <c r="L46" i="29" l="1"/>
  <c r="L47" i="29" s="1"/>
  <c r="L45" i="29"/>
  <c r="M55" i="49"/>
  <c r="O58" i="49" l="1"/>
  <c r="K44" i="29" l="1"/>
  <c r="K33" i="50"/>
  <c r="K16" i="29"/>
  <c r="O56" i="49"/>
  <c r="K45" i="29" l="1"/>
  <c r="K46" i="29"/>
  <c r="K47" i="29" s="1"/>
  <c r="K39" i="50"/>
  <c r="K46" i="50" s="1"/>
  <c r="K49" i="50" s="1"/>
  <c r="K50" i="50" s="1"/>
  <c r="K36" i="50"/>
  <c r="K37" i="50" s="1"/>
  <c r="O21" i="49"/>
  <c r="O57" i="49" l="1"/>
  <c r="O16" i="49"/>
  <c r="O23" i="49" s="1"/>
  <c r="O55" i="49"/>
  <c r="O20" i="50"/>
  <c r="O24" i="50" s="1"/>
  <c r="O27" i="50" l="1"/>
  <c r="O28" i="50" s="1"/>
  <c r="O30" i="50"/>
  <c r="O33" i="50" s="1"/>
  <c r="O24" i="49"/>
  <c r="O30" i="49" s="1"/>
  <c r="O29" i="49"/>
  <c r="O37" i="49" l="1"/>
  <c r="O50" i="49" s="1"/>
  <c r="O34" i="49"/>
  <c r="O39" i="50"/>
  <c r="O46" i="50" s="1"/>
  <c r="O49" i="50" s="1"/>
  <c r="O50" i="50" s="1"/>
  <c r="O36" i="50"/>
  <c r="O37" i="50" s="1"/>
  <c r="O53" i="49" l="1"/>
  <c r="O48" i="49"/>
  <c r="O36" i="49"/>
  <c r="O49" i="49" l="1"/>
  <c r="O51" i="49"/>
  <c r="O52" i="49"/>
  <c r="J33" i="50" l="1"/>
  <c r="J39" i="50" l="1"/>
  <c r="J46" i="50" s="1"/>
  <c r="J49" i="50" s="1"/>
  <c r="J50" i="50" s="1"/>
  <c r="J36" i="50"/>
  <c r="J37" i="50" s="1"/>
  <c r="J16" i="29"/>
  <c r="J44" i="29"/>
  <c r="J46" i="29" l="1"/>
  <c r="J47" i="29" s="1"/>
  <c r="J45" i="29"/>
  <c r="I16" i="29" l="1"/>
  <c r="I44" i="29" l="1"/>
  <c r="I46" i="29" s="1"/>
  <c r="I47" i="29" s="1"/>
  <c r="I33" i="50"/>
  <c r="I45" i="29" l="1"/>
  <c r="I39" i="50"/>
  <c r="I46" i="50" s="1"/>
  <c r="I49" i="50" s="1"/>
  <c r="I50" i="50" s="1"/>
  <c r="I36" i="50"/>
  <c r="I37" i="50" s="1"/>
  <c r="H33" i="50" l="1"/>
  <c r="H16" i="29" l="1"/>
  <c r="H44" i="29"/>
  <c r="H39" i="50"/>
  <c r="H46" i="50" s="1"/>
  <c r="H49" i="50" s="1"/>
  <c r="H50" i="50" s="1"/>
  <c r="H36" i="50"/>
  <c r="H37" i="50" s="1"/>
  <c r="H46" i="29" l="1"/>
  <c r="H47" i="29" s="1"/>
  <c r="H45" i="29"/>
  <c r="N58" i="49"/>
  <c r="G33" i="50" l="1"/>
  <c r="G44" i="29" l="1"/>
  <c r="G16" i="29"/>
  <c r="N21" i="49"/>
  <c r="G46" i="29"/>
  <c r="G47" i="29" s="1"/>
  <c r="G45" i="29"/>
  <c r="G39" i="50"/>
  <c r="G46" i="50" s="1"/>
  <c r="G49" i="50" s="1"/>
  <c r="G50" i="50" s="1"/>
  <c r="G36" i="50"/>
  <c r="G37" i="50" s="1"/>
  <c r="N56" i="49"/>
  <c r="N20" i="50" l="1"/>
  <c r="N57" i="49"/>
  <c r="N16" i="49"/>
  <c r="N23" i="49" s="1"/>
  <c r="N55" i="49"/>
  <c r="N24" i="49" l="1"/>
  <c r="N30" i="49" s="1"/>
  <c r="N29" i="49"/>
  <c r="N37" i="49" s="1"/>
  <c r="N50" i="49" s="1"/>
  <c r="N34" i="49" l="1"/>
  <c r="N24" i="50"/>
  <c r="N53" i="49" l="1"/>
  <c r="N48" i="49"/>
  <c r="N36" i="49"/>
  <c r="N30" i="50"/>
  <c r="N33" i="50" s="1"/>
  <c r="N27" i="50"/>
  <c r="N28" i="50" s="1"/>
  <c r="N36" i="50" l="1"/>
  <c r="N37" i="50" s="1"/>
  <c r="N39" i="50"/>
  <c r="N46" i="50" s="1"/>
  <c r="N49" i="50" s="1"/>
  <c r="N50" i="50" s="1"/>
  <c r="N49" i="49"/>
  <c r="N52" i="49"/>
  <c r="N51" i="49"/>
  <c r="F33" i="50" l="1"/>
  <c r="F36" i="50" l="1"/>
  <c r="F37" i="50" s="1"/>
  <c r="F39" i="50"/>
  <c r="F46" i="50" s="1"/>
  <c r="F49" i="50" s="1"/>
  <c r="F50" i="50" s="1"/>
  <c r="F44" i="29"/>
  <c r="F16" i="29"/>
  <c r="F46" i="29" l="1"/>
  <c r="F47" i="29" s="1"/>
  <c r="F45" i="29"/>
  <c r="E33" i="50" l="1"/>
  <c r="E16" i="29" l="1"/>
  <c r="E44" i="29"/>
  <c r="E39" i="50"/>
  <c r="E46" i="50" s="1"/>
  <c r="E49" i="50" s="1"/>
  <c r="E50" i="50" s="1"/>
  <c r="E36" i="50"/>
  <c r="E37" i="50" s="1"/>
  <c r="E46" i="29" l="1"/>
  <c r="E47" i="29" s="1"/>
  <c r="E45" i="29"/>
  <c r="C44" i="29" l="1"/>
  <c r="D44" i="29"/>
  <c r="C16" i="29"/>
  <c r="D46" i="29" l="1"/>
  <c r="D47" i="29" s="1"/>
  <c r="D45" i="29"/>
  <c r="C33" i="50"/>
  <c r="C46" i="29"/>
  <c r="C47" i="29" s="1"/>
  <c r="C45" i="29"/>
  <c r="D33" i="50"/>
  <c r="D16" i="29"/>
  <c r="C36" i="50" l="1"/>
  <c r="C37" i="50" s="1"/>
  <c r="C39" i="50"/>
  <c r="C46" i="50" s="1"/>
  <c r="C49" i="50" s="1"/>
  <c r="C50" i="50" s="1"/>
  <c r="D39" i="50"/>
  <c r="D46" i="50" s="1"/>
  <c r="D49" i="50" s="1"/>
  <c r="D50" i="50" s="1"/>
  <c r="D36" i="50"/>
  <c r="D37" i="50" s="1"/>
  <c r="M39" i="34" l="1"/>
  <c r="M42" i="34" s="1"/>
  <c r="M64" i="36"/>
  <c r="M71" i="36"/>
  <c r="M40" i="36"/>
  <c r="M57" i="36"/>
  <c r="M44" i="34" l="1"/>
  <c r="M43" i="34"/>
  <c r="M45" i="34" s="1"/>
  <c r="M49" i="34"/>
  <c r="M53" i="34" s="1"/>
  <c r="M68" i="36"/>
  <c r="M61" i="36"/>
  <c r="M75" i="36"/>
  <c r="R24" i="33"/>
</calcChain>
</file>

<file path=xl/sharedStrings.xml><?xml version="1.0" encoding="utf-8"?>
<sst xmlns="http://schemas.openxmlformats.org/spreadsheetml/2006/main" count="730" uniqueCount="480">
  <si>
    <t>(million €)</t>
  </si>
  <si>
    <t>Net interest income</t>
  </si>
  <si>
    <t>Staff costs</t>
  </si>
  <si>
    <t>Share of profit of associates</t>
  </si>
  <si>
    <t>Profit before Tax</t>
  </si>
  <si>
    <t>CONSOLIDATED BALANCE SHEET</t>
  </si>
  <si>
    <t>ASSETS</t>
  </si>
  <si>
    <t>Income tax expense</t>
  </si>
  <si>
    <t>Depreciation and amortization</t>
  </si>
  <si>
    <t>** Weighted average number of shares in issue for the basic EPS calculation</t>
  </si>
  <si>
    <t>Greece</t>
  </si>
  <si>
    <t>Abroad</t>
  </si>
  <si>
    <t>LIABILITIES &amp; EQUITY</t>
  </si>
  <si>
    <t>CONSOLIDATED CUSTOMER DEPOSITS (per product type)</t>
  </si>
  <si>
    <t>CONSOLIDATED LOANS (per customer type)</t>
  </si>
  <si>
    <t>Group</t>
  </si>
  <si>
    <t>Affiliate companies in Greece</t>
  </si>
  <si>
    <t>OTHER INFORMATION</t>
  </si>
  <si>
    <t>Fitch</t>
  </si>
  <si>
    <t># Shares</t>
  </si>
  <si>
    <t>Ratings</t>
  </si>
  <si>
    <t>Back to Cover</t>
  </si>
  <si>
    <t>1. Savings</t>
  </si>
  <si>
    <t>2. Sight deposits and other deposits</t>
  </si>
  <si>
    <t>Composition</t>
  </si>
  <si>
    <t>CONSOLIDATED LOAN PORTFOLIO QUALITY</t>
  </si>
  <si>
    <t>ANALYSIS OF SELECTED BALANCE SHEET ITEMS</t>
  </si>
  <si>
    <t>1. Cash and balances with central banks</t>
  </si>
  <si>
    <t xml:space="preserve">2. Loans and advances to credit institutions  </t>
  </si>
  <si>
    <t>LOAN PORTFOLIO QUALITY</t>
  </si>
  <si>
    <t>Impairment losses on loans</t>
  </si>
  <si>
    <t>3. Term deposits, repos</t>
  </si>
  <si>
    <t>2. Mortgage loans</t>
  </si>
  <si>
    <t xml:space="preserve">3. Consumer loans </t>
  </si>
  <si>
    <t>LLRs</t>
  </si>
  <si>
    <t>LLRs / NPLs</t>
  </si>
  <si>
    <t>LLRs / gross loans</t>
  </si>
  <si>
    <t>QoQ</t>
  </si>
  <si>
    <t>3. Mortgage loans</t>
  </si>
  <si>
    <t xml:space="preserve">4. Consumer loans </t>
  </si>
  <si>
    <t>Discontinued operations</t>
  </si>
  <si>
    <t>Piraeus Bank's shares (end of the period)*</t>
  </si>
  <si>
    <t>PB's shares minus treasury stock (average of period)**</t>
  </si>
  <si>
    <t>Adjusted PB's shares minus treasury stock (avg of period)***</t>
  </si>
  <si>
    <t>Piraeus Bank Greece</t>
  </si>
  <si>
    <t>ECB</t>
  </si>
  <si>
    <t>Other</t>
  </si>
  <si>
    <t>CAPITAL ADEQUACY</t>
  </si>
  <si>
    <t>amounts in € mn</t>
  </si>
  <si>
    <t xml:space="preserve">Abroad </t>
  </si>
  <si>
    <t>*** Weighted average number of shares in issue for the diluted EPS calculation</t>
  </si>
  <si>
    <t>CONSOLIDATED P&amp;L</t>
  </si>
  <si>
    <t>Consolidated P&amp;L</t>
  </si>
  <si>
    <t>NPEs / gross loans</t>
  </si>
  <si>
    <t>NPEs</t>
  </si>
  <si>
    <t>LLRs / NPEs</t>
  </si>
  <si>
    <t>Group (continued operations)</t>
  </si>
  <si>
    <t>Discontinued &amp; held for sale operations</t>
  </si>
  <si>
    <t>Branches</t>
  </si>
  <si>
    <t xml:space="preserve">Employees </t>
  </si>
  <si>
    <t>S&amp;P Global</t>
  </si>
  <si>
    <t>Reported</t>
  </si>
  <si>
    <t>Re-defaults</t>
  </si>
  <si>
    <t>Defaults</t>
  </si>
  <si>
    <t>Sales</t>
  </si>
  <si>
    <t>NPE | End of period</t>
  </si>
  <si>
    <t>Write-offs</t>
  </si>
  <si>
    <t>Curings, Collections, Liquidations</t>
  </si>
  <si>
    <t>Total Regulatory Capital</t>
  </si>
  <si>
    <t>Risk Weighted Assets</t>
  </si>
  <si>
    <t>Common Equity Tier I</t>
  </si>
  <si>
    <r>
      <t>Pro-Forma</t>
    </r>
    <r>
      <rPr>
        <b/>
        <vertAlign val="superscript"/>
        <sz val="12"/>
        <color rgb="FF000080"/>
        <rFont val="Calibri"/>
        <family val="2"/>
        <charset val="161"/>
        <scheme val="minor"/>
      </rPr>
      <t>(1)</t>
    </r>
  </si>
  <si>
    <t>2. OPEKEPE (seasonal loan to farmers)</t>
  </si>
  <si>
    <t>Common Equity Tier I ratio</t>
  </si>
  <si>
    <t>Total Capital Ratio</t>
  </si>
  <si>
    <t>Capital figures include profit for the period throughout the time horizon presented</t>
  </si>
  <si>
    <t>* Outstanding number of shares; post CoCo conversion to common shares in early January 2021, number of shares totaled 831,059,164</t>
  </si>
  <si>
    <t>Q1 2021</t>
  </si>
  <si>
    <t>Q1.21</t>
  </si>
  <si>
    <t>Caa2 (Positive)</t>
  </si>
  <si>
    <t>B (Stable)</t>
  </si>
  <si>
    <t>CCC+</t>
  </si>
  <si>
    <t>Note: 1,250,367,223 shares οutstanding post April 2021 share capital increase</t>
  </si>
  <si>
    <t>Q2 2021</t>
  </si>
  <si>
    <t>Q2.21</t>
  </si>
  <si>
    <t>4. Mortgage loans</t>
  </si>
  <si>
    <t xml:space="preserve">5. Consumer loans </t>
  </si>
  <si>
    <t>6. Loans to Individuals</t>
  </si>
  <si>
    <t>Q3 2021</t>
  </si>
  <si>
    <t>Q3.21</t>
  </si>
  <si>
    <t>B3 (Positive)</t>
  </si>
  <si>
    <t>Q4 2021</t>
  </si>
  <si>
    <t>Q4.21</t>
  </si>
  <si>
    <t>DBRS</t>
  </si>
  <si>
    <t xml:space="preserve">                     </t>
  </si>
  <si>
    <t>Q1 2022</t>
  </si>
  <si>
    <t>Q1.22</t>
  </si>
  <si>
    <t>B- (Positive)</t>
  </si>
  <si>
    <t>o/w underlying</t>
  </si>
  <si>
    <t>(1) For 31.03.2021 and onwards discontinued operations refer to Imithea</t>
  </si>
  <si>
    <t>(2) For 30.06.2021 discontinued operations also include Sunrise 1 loan portfolio, classified as HFS along with other corporate NPE tickets similarly categorized</t>
  </si>
  <si>
    <t>(3) For 30.09.2021 discontinued operations also include Sunrise 2 loan portfolio, as well Sunshine Leasing NPE portfolio along with other corporate NPE tickets similarly categorized</t>
  </si>
  <si>
    <t>(4) For 31.12.2021 discontinued operations also include Sunshine Leasing and Dory shipping NPE portfolios along with other corporate NPE tickets similarly categorized</t>
  </si>
  <si>
    <t>Group data, amounts in €mn</t>
  </si>
  <si>
    <t>o/w NPEs</t>
  </si>
  <si>
    <t>o/w PEs</t>
  </si>
  <si>
    <t>Loans</t>
  </si>
  <si>
    <t>Bancassurance</t>
  </si>
  <si>
    <t>Brokerage</t>
  </si>
  <si>
    <t>Financing</t>
  </si>
  <si>
    <t>Investment</t>
  </si>
  <si>
    <t>Cards</t>
  </si>
  <si>
    <t>o/w acquiring</t>
  </si>
  <si>
    <t>Payments</t>
  </si>
  <si>
    <t>Transactional</t>
  </si>
  <si>
    <t>Total</t>
  </si>
  <si>
    <t>Rents - maintenance</t>
  </si>
  <si>
    <t>Marketing - subscriptions</t>
  </si>
  <si>
    <t>Taxes</t>
  </si>
  <si>
    <t>DGS - SRF</t>
  </si>
  <si>
    <t>Subsidiaries</t>
  </si>
  <si>
    <t>Share &amp; stock market data</t>
  </si>
  <si>
    <t>Price/tangible book ratio</t>
  </si>
  <si>
    <t>Tangible book value per share (€)</t>
  </si>
  <si>
    <t>Stage 1</t>
  </si>
  <si>
    <t>Stage 2</t>
  </si>
  <si>
    <t>CUSTOMER FUNDS</t>
  </si>
  <si>
    <t>1. Customer funds</t>
  </si>
  <si>
    <t>2. Saving and sight deposits</t>
  </si>
  <si>
    <t>3. Time deposits</t>
  </si>
  <si>
    <t>Retail</t>
  </si>
  <si>
    <t>CORE TOTAL</t>
  </si>
  <si>
    <t>GROUP</t>
  </si>
  <si>
    <t>Rental and non-banking activities income</t>
  </si>
  <si>
    <t>Pre-tax RoA</t>
  </si>
  <si>
    <t>LOAN BOOK EXPOSURE</t>
  </si>
  <si>
    <t>Stage 3 &amp; POCI</t>
  </si>
  <si>
    <t xml:space="preserve">Mortgages </t>
  </si>
  <si>
    <t>Total loans</t>
  </si>
  <si>
    <t>LOAN LOSS RESERVES</t>
  </si>
  <si>
    <t>PERFORMING LOANS</t>
  </si>
  <si>
    <t xml:space="preserve">     &gt;&gt; SME</t>
  </si>
  <si>
    <t xml:space="preserve">     &gt;&gt; SB</t>
  </si>
  <si>
    <t xml:space="preserve">     &gt;&gt; Shipping</t>
  </si>
  <si>
    <t xml:space="preserve">    &gt;&gt;Mortgage loans</t>
  </si>
  <si>
    <t>Industry</t>
  </si>
  <si>
    <t>Manufacturing</t>
  </si>
  <si>
    <t>Hospitality</t>
  </si>
  <si>
    <t>Energy</t>
  </si>
  <si>
    <t>Total CIB</t>
  </si>
  <si>
    <t>Segments</t>
  </si>
  <si>
    <t>PROFIT/(LOSS)</t>
  </si>
  <si>
    <t>BALANCE SHEET</t>
  </si>
  <si>
    <t>FINANCIAL HIGHLIGHTS</t>
  </si>
  <si>
    <t>NET INTEREST INCOME</t>
  </si>
  <si>
    <t>NET FEE INCOME</t>
  </si>
  <si>
    <t>IFRS9 STAGES</t>
  </si>
  <si>
    <t>NPE FLOW DECOMPOSITION</t>
  </si>
  <si>
    <t xml:space="preserve">   &gt;&gt;Consumer loans &amp; credit cards</t>
  </si>
  <si>
    <t>Consumer loans/Credit cards</t>
  </si>
  <si>
    <t>EPS reported (€)</t>
  </si>
  <si>
    <t>3. Time deposits, repos</t>
  </si>
  <si>
    <t>Q2.22</t>
  </si>
  <si>
    <t>Q2 2022</t>
  </si>
  <si>
    <t xml:space="preserve">Net fee and commission income </t>
  </si>
  <si>
    <t>NPEMU</t>
  </si>
  <si>
    <t>Corporate &amp; IB</t>
  </si>
  <si>
    <t>Financial markets</t>
  </si>
  <si>
    <t>Assets</t>
  </si>
  <si>
    <t>Senior notes</t>
  </si>
  <si>
    <t xml:space="preserve">       of which one off items</t>
  </si>
  <si>
    <t>Total OpEx</t>
  </si>
  <si>
    <t>Impairments for loans</t>
  </si>
  <si>
    <t>Tax</t>
  </si>
  <si>
    <t>RATIOS &amp; METRICS</t>
  </si>
  <si>
    <t>SECURITIES (debt &amp; equity securities)</t>
  </si>
  <si>
    <t>1. Derivative financial instruments</t>
  </si>
  <si>
    <t>3. Financial instruments at fair value through P&amp;L</t>
  </si>
  <si>
    <t xml:space="preserve">3. Gross loans and advances to customers </t>
  </si>
  <si>
    <t>7. Investments in associates</t>
  </si>
  <si>
    <t>8. Goodwill</t>
  </si>
  <si>
    <t>9. Other intagible assets</t>
  </si>
  <si>
    <t>10. Property, plant and equipment</t>
  </si>
  <si>
    <t>11. Deferred tax assets</t>
  </si>
  <si>
    <t>12. Other assets</t>
  </si>
  <si>
    <t>15. Due to credit institutions</t>
  </si>
  <si>
    <t>16. Liabilities at FV through PL</t>
  </si>
  <si>
    <t>17. Derivative financial instruments</t>
  </si>
  <si>
    <t xml:space="preserve">18. Due to customers </t>
  </si>
  <si>
    <t>19. Debt securities and other borrowed funds</t>
  </si>
  <si>
    <t>20. Deferred tax liabilities</t>
  </si>
  <si>
    <t>21. Retirement benefit obligations</t>
  </si>
  <si>
    <t>22. Other liabilities</t>
  </si>
  <si>
    <t>25. Shareholders' funds</t>
  </si>
  <si>
    <t>26. Additional Tier I</t>
  </si>
  <si>
    <t>Depreciation</t>
  </si>
  <si>
    <t>B (Positive)</t>
  </si>
  <si>
    <r>
      <rPr>
        <sz val="12"/>
        <color rgb="FF000080"/>
        <rFont val="Calibri"/>
        <family val="2"/>
        <charset val="161"/>
        <scheme val="minor"/>
      </rPr>
      <t xml:space="preserve">Trading &amp; other income </t>
    </r>
    <r>
      <rPr>
        <b/>
        <sz val="12"/>
        <color rgb="FF00B0F0"/>
        <rFont val="Calibri"/>
        <family val="2"/>
        <charset val="161"/>
        <scheme val="minor"/>
      </rPr>
      <t>normalized</t>
    </r>
  </si>
  <si>
    <r>
      <t xml:space="preserve">Normalized EPS (€) </t>
    </r>
    <r>
      <rPr>
        <b/>
        <sz val="12"/>
        <color rgb="FF00B0F0"/>
        <rFont val="Calibri"/>
        <family val="2"/>
        <charset val="161"/>
        <scheme val="minor"/>
      </rPr>
      <t>adjusted for AT1 coupon</t>
    </r>
  </si>
  <si>
    <t>Core EPS  (€)</t>
  </si>
  <si>
    <t>Market capitalization (€mn)</t>
  </si>
  <si>
    <r>
      <t xml:space="preserve">Reported EPS (€) </t>
    </r>
    <r>
      <rPr>
        <b/>
        <sz val="12"/>
        <color rgb="FF00B0F0"/>
        <rFont val="Calibri"/>
        <family val="2"/>
        <charset val="161"/>
        <scheme val="minor"/>
      </rPr>
      <t>adjusted for AT1 coupon</t>
    </r>
  </si>
  <si>
    <t>(6) For 30.06.2022 discontinued operations also include Sunrise 3 NPE loan portfolio, Solar NPE loan portfolio, Sunshine Leasing NPE portfolio along with other corporate NPE tickets similarly categorized</t>
  </si>
  <si>
    <t>(5) For 31.03.2022 discontinued operations also include Sunshine Leasing NPE portfolio along with other corporate NPE tickets similarly categorized</t>
  </si>
  <si>
    <t>of which one-off</t>
  </si>
  <si>
    <t>Normalized Operating Profit</t>
  </si>
  <si>
    <t>Core EPS adj for AT1</t>
  </si>
  <si>
    <t>Normalized EPS adj for AT1</t>
  </si>
  <si>
    <t>Reported EPS adjusted for AT1</t>
  </si>
  <si>
    <t>Minorities</t>
  </si>
  <si>
    <t>Price/earnings normalized (%)</t>
  </si>
  <si>
    <t>EPS normalized (€)</t>
  </si>
  <si>
    <t>EPS CALCULATIONS</t>
  </si>
  <si>
    <t>Operating expenses</t>
  </si>
  <si>
    <t>Core EPS</t>
  </si>
  <si>
    <t>Normalized EPS</t>
  </si>
  <si>
    <t>Reported EPS adjusted</t>
  </si>
  <si>
    <t>* For simplification, all EPS figures are calculated with the current number of shares</t>
  </si>
  <si>
    <t>Q3 2022</t>
  </si>
  <si>
    <t>Q3.22</t>
  </si>
  <si>
    <t>Securities</t>
  </si>
  <si>
    <t>n.m.</t>
  </si>
  <si>
    <t>* For simplification, all EPS figures are calculated with the current number of shares; normalized core and operating profits include tax expense in its totality</t>
  </si>
  <si>
    <t>(7) For 30.09.2022 disconinued operations have zeroed on the back of the loss of control over IMITHEA; figure includes Sunrise 3 NPE loan portfolio, Solar NPE loan portfolio, Sunshine Leasing NPE portfolio along with other corporate NPE tickets similarly categorized</t>
  </si>
  <si>
    <t>IT - telco</t>
  </si>
  <si>
    <t>1 Oct.22</t>
  </si>
  <si>
    <t>Q4.22</t>
  </si>
  <si>
    <t>Q4 2022</t>
  </si>
  <si>
    <t>-</t>
  </si>
  <si>
    <t xml:space="preserve">       of which acquiring fees</t>
  </si>
  <si>
    <t xml:space="preserve">of which one-off </t>
  </si>
  <si>
    <t>Other impairments &amp; associates' income</t>
  </si>
  <si>
    <t>Associates' income one-off</t>
  </si>
  <si>
    <r>
      <t xml:space="preserve">Net fee income &amp; rental/non bank income </t>
    </r>
    <r>
      <rPr>
        <vertAlign val="superscript"/>
        <sz val="12"/>
        <rFont val="Calibri"/>
        <family val="2"/>
        <charset val="161"/>
        <scheme val="minor"/>
      </rPr>
      <t>(1)</t>
    </r>
  </si>
  <si>
    <t>(8) For 31.12.2022 figure includes Sunrise 3 NPE loan portfolio, Solar NPE loan portfolio, Sunshine Leasing NPE portfolio along with other corporate NPE tickets similarly categorized</t>
  </si>
  <si>
    <t>NIM on average assets</t>
  </si>
  <si>
    <t>*As of Q1.21 restatements have been made to reflect the reclassification of fees paid to card services provider, which were previously included within general expenses to net fee income as an expense;
  as of Q1.22 restatements have been made due to the integration of Wealth &amp; Asset management segment</t>
  </si>
  <si>
    <t>*As of Q1.21 restatements have been made to reflect the reclassification of fees paid to card services provider, which were previously included within general expenses to net fee income as an expense</t>
  </si>
  <si>
    <t xml:space="preserve">     o/w Senior notes</t>
  </si>
  <si>
    <t>Ba3 (Stable)</t>
  </si>
  <si>
    <t>Moody's*</t>
  </si>
  <si>
    <t>B2 (Positive)</t>
  </si>
  <si>
    <t>B high (Stable)</t>
  </si>
  <si>
    <t>Total inflows</t>
  </si>
  <si>
    <t>o/w business</t>
  </si>
  <si>
    <t>o/w mortgage</t>
  </si>
  <si>
    <t>o/w consumer</t>
  </si>
  <si>
    <t>Other Discontinued (Imithea SA until 30.06.22)</t>
  </si>
  <si>
    <t>Net fee income</t>
  </si>
  <si>
    <t>NPEs | Beginning of period</t>
  </si>
  <si>
    <t>Q1 2023</t>
  </si>
  <si>
    <t>Q1.23</t>
  </si>
  <si>
    <t xml:space="preserve">* Moody’s Rating refers to Long Term Deposit Rating
</t>
  </si>
  <si>
    <t>(9) For 31.03.2023 figure includes Sunrise 3 NPE loan portfolio, Solar NPE loan portfolio, Sunshine Leasing NPE portfolio along with other corporate NPE tickets similarly categorized</t>
  </si>
  <si>
    <t>5. Total customer assets</t>
  </si>
  <si>
    <t>Q2.23</t>
  </si>
  <si>
    <t>Q2 2023</t>
  </si>
  <si>
    <t>Tax normalized</t>
  </si>
  <si>
    <t>B+ (Positive)</t>
  </si>
  <si>
    <t>(10) For 30.06.2023 figure includes Sunrise 3 NPE loan portfolio, Solar NPE loan portfolio, Sunshine Leasing NPE portfolio, Delta NPE loan portfolio along with other corporate NPE tickets similarly categorized</t>
  </si>
  <si>
    <t>* Gross loans, NPEs &amp; NPLs include loans and advances to customers fair valued through P&amp;L. LLRs include ECL allowance for impairment losses on loans and advances to customers mandatorily measured at FVTPL</t>
  </si>
  <si>
    <r>
      <t xml:space="preserve">Assets adjusted </t>
    </r>
    <r>
      <rPr>
        <sz val="12"/>
        <color rgb="FF000080"/>
        <rFont val="Calibri"/>
        <family val="2"/>
        <charset val="161"/>
        <scheme val="minor"/>
      </rPr>
      <t>(excl. discontinued operations, seasonal OPEKEPE)</t>
    </r>
  </si>
  <si>
    <r>
      <t xml:space="preserve">CoR </t>
    </r>
    <r>
      <rPr>
        <b/>
        <sz val="12"/>
        <color rgb="FF00B0F0"/>
        <rFont val="Calibri"/>
        <family val="2"/>
        <charset val="161"/>
        <scheme val="minor"/>
      </rPr>
      <t>organic</t>
    </r>
  </si>
  <si>
    <r>
      <t xml:space="preserve">Core EPS (€) </t>
    </r>
    <r>
      <rPr>
        <b/>
        <sz val="12"/>
        <color rgb="FF00B0F0"/>
        <rFont val="Calibri"/>
        <family val="2"/>
        <charset val="161"/>
        <scheme val="minor"/>
      </rPr>
      <t>adjusted for AT1 coupon</t>
    </r>
  </si>
  <si>
    <r>
      <t xml:space="preserve">RoaTBV </t>
    </r>
    <r>
      <rPr>
        <b/>
        <sz val="12"/>
        <color rgb="FF00B0F0"/>
        <rFont val="Calibri"/>
        <family val="2"/>
        <charset val="161"/>
        <scheme val="minor"/>
      </rPr>
      <t>normalized</t>
    </r>
    <r>
      <rPr>
        <b/>
        <sz val="12"/>
        <color theme="1"/>
        <rFont val="Calibri"/>
        <family val="2"/>
        <charset val="161"/>
        <scheme val="minor"/>
      </rPr>
      <t xml:space="preserve"> </t>
    </r>
    <r>
      <rPr>
        <b/>
        <sz val="12"/>
        <color rgb="FF00B0F0"/>
        <rFont val="Calibri"/>
        <family val="2"/>
        <charset val="161"/>
        <scheme val="minor"/>
      </rPr>
      <t>adjusted for AT1 coupon</t>
    </r>
  </si>
  <si>
    <r>
      <t xml:space="preserve">RoaA </t>
    </r>
    <r>
      <rPr>
        <b/>
        <sz val="12"/>
        <color rgb="FF00B0F0"/>
        <rFont val="Calibri"/>
        <family val="2"/>
        <charset val="161"/>
        <scheme val="minor"/>
      </rPr>
      <t>normalized adjusted for AT1 coupon</t>
    </r>
  </si>
  <si>
    <t>NFI/Assets</t>
  </si>
  <si>
    <t>(1) Q1, Q2, Q3.2022 net fee  &amp; rental income and general expenses have been restated to reflect the reclassification of fees paid to card services provider,
      which were previously included within general expenses to net fee income as an expense. Comparative information have been restated backwards for 2021 in order to align with the aforementioned changes</t>
  </si>
  <si>
    <t>6. Securities inc. derivatives</t>
  </si>
  <si>
    <t>* Loan figures do not include loans and advances to customers fair valued through P&amp;L. LLRs do not include ECL allowance for impairment losses on loans and advances to customers mandatorily measured at FVTPL</t>
  </si>
  <si>
    <t>* Q2.23 business inflow elevated due to one corporate  client defaulting</t>
  </si>
  <si>
    <t>9M 2023 DATA OF PIRAEUS FINANCIAL HOLDINGS</t>
  </si>
  <si>
    <t>Q3.23</t>
  </si>
  <si>
    <t>P&amp;L SEGMENT VIEW 9M.23</t>
  </si>
  <si>
    <t>Q3 2023</t>
  </si>
  <si>
    <t>9M 2022</t>
  </si>
  <si>
    <t>9M 2023</t>
  </si>
  <si>
    <t>Ba1 (Positive)</t>
  </si>
  <si>
    <t>BB- (Stable)</t>
  </si>
  <si>
    <t>(11) For 30.09.2023 figure includes Sunrise 3 NPE loan portfolio, Solar NPE loan portfolio, Delta NPE loan portfolio along with other corporate NPE tickets similarly categorized</t>
  </si>
  <si>
    <r>
      <t xml:space="preserve">23. Liabilities from discontinued operations &amp; held for sale </t>
    </r>
    <r>
      <rPr>
        <vertAlign val="superscript"/>
        <sz val="12"/>
        <color indexed="18"/>
        <rFont val="Calibri"/>
        <family val="2"/>
        <charset val="161"/>
        <scheme val="minor"/>
      </rPr>
      <t>(1,2,3,4,5,6,7,8,9,10,11)</t>
    </r>
  </si>
  <si>
    <r>
      <t xml:space="preserve">13. Assets from discontinued operations &amp; held for sale </t>
    </r>
    <r>
      <rPr>
        <vertAlign val="superscript"/>
        <sz val="12"/>
        <color indexed="56"/>
        <rFont val="Calibri"/>
        <family val="2"/>
        <charset val="161"/>
        <scheme val="minor"/>
      </rPr>
      <t>(1,2,3,4,5,6,7,8,9,10,11)</t>
    </r>
  </si>
  <si>
    <r>
      <t>NIM on average interest earning assets</t>
    </r>
    <r>
      <rPr>
        <b/>
        <vertAlign val="superscript"/>
        <sz val="14"/>
        <color rgb="FF000080"/>
        <rFont val="Calibri"/>
        <family val="2"/>
        <charset val="161"/>
        <scheme val="minor"/>
      </rPr>
      <t>2</t>
    </r>
  </si>
  <si>
    <t>1. Balances and related income exclude senior tranches and CLOs</t>
  </si>
  <si>
    <t>2. Interest earning assets are total assets excluding equity and mutual fund financial assets, participations, goodwill and intangibles, fixed assets, deferred tax assets and discontinued</t>
  </si>
  <si>
    <t>(1) Pro-forma ratios adjusted for the RWA relief of the sale of NPE loan portfolios and any other regulatory capital adjustments illustrated in quarterly reporting. For June.21 the ratios are pro forma for the RWA relief related with Sunrise 1 NPE perimeter, for which associated losses have been booked in regulatory capital. For Sep.21 capital ratio is illustrated pro forma for the Sunrise 2 portfolio RWA relief, transaction for which loss has been booked in Q3.21, as well as Thalis signed transaction (cards merchant acquiring business carve-out). For Dec.21 capital ratio is illustrated pro forma for the Dory shipping NPE portfolio RWA relief, transaction for which loss has been booked in Q4.21. For Mar.22 capital ratio is illustrated pro forma for the Sunshine leasing NPE portfolio RWA relief, transaction for which loss has been booked in 2021, and for the RWA relief resulting from the synthetic securitization of a shipping portfolio, transaction which is expected to close in the forthcoming period, subject to regulatory approvals. For Jun.22 capital ratio is illustrated pro forma for the expected impact of the Iolcus and Natech transaction developments concluded post 30 June 2022, the RWA relief of the Sunrise 3 and Solar NPE securitization portfolios, classified as held for sale as at 30 June 2022, for which 100% sale scenarios are booked, the RWA relief expected from the mortgage and blended portfolio signed synthetic securitizations, concluded in the following period, as well as other financial developments post 30 Jun.22. For June and September 2023 pro-forma for the RWA relief from the Sunrise 3, Solar, NPE securitizations and the RWA of the Delta and Wheel NPE portfolios, classified as HFS as at 30 June 2023</t>
  </si>
  <si>
    <r>
      <t>2. Investment securities</t>
    </r>
    <r>
      <rPr>
        <vertAlign val="superscript"/>
        <sz val="12"/>
        <color rgb="FF000080"/>
        <rFont val="Calibri"/>
        <family val="2"/>
        <charset val="161"/>
        <scheme val="minor"/>
      </rPr>
      <t>2</t>
    </r>
  </si>
  <si>
    <t>NII/Assets</t>
  </si>
  <si>
    <t>Merchant acquiring business carveout</t>
  </si>
  <si>
    <t>Customer deposits costs</t>
  </si>
  <si>
    <t>Debt securities costs</t>
  </si>
  <si>
    <r>
      <t>PE yields</t>
    </r>
    <r>
      <rPr>
        <b/>
        <vertAlign val="superscript"/>
        <sz val="14"/>
        <color rgb="FF000080"/>
        <rFont val="Calibri"/>
        <family val="2"/>
        <charset val="161"/>
        <scheme val="minor"/>
      </rPr>
      <t>1</t>
    </r>
  </si>
  <si>
    <t>Fixed income securities yields</t>
  </si>
  <si>
    <t xml:space="preserve">          of which G&amp;A costs recurring</t>
  </si>
  <si>
    <t>Extraordinary general expenses for extreme weather phenomena</t>
  </si>
  <si>
    <t xml:space="preserve">       of which one off items (staff costs and G&amp;A expenses)</t>
  </si>
  <si>
    <t>OPERATING COSTS ANALYSIS</t>
  </si>
  <si>
    <t>Staff costs recurring</t>
  </si>
  <si>
    <t>VES costs</t>
  </si>
  <si>
    <t>Net revenues</t>
  </si>
  <si>
    <t>General expenses</t>
  </si>
  <si>
    <r>
      <t xml:space="preserve">Pre provision income </t>
    </r>
    <r>
      <rPr>
        <b/>
        <sz val="12"/>
        <color rgb="FF00B0F0"/>
        <rFont val="Calibri"/>
        <family val="2"/>
        <charset val="161"/>
        <scheme val="minor"/>
      </rPr>
      <t>reported</t>
    </r>
  </si>
  <si>
    <r>
      <t>Pre provision income</t>
    </r>
    <r>
      <rPr>
        <b/>
        <sz val="12"/>
        <color rgb="FF009AD8"/>
        <rFont val="Calibri"/>
        <family val="2"/>
        <charset val="161"/>
        <scheme val="minor"/>
      </rPr>
      <t xml:space="preserve"> </t>
    </r>
    <r>
      <rPr>
        <b/>
        <sz val="12"/>
        <color rgb="FF00B0F0"/>
        <rFont val="Calibri"/>
        <family val="2"/>
        <charset val="161"/>
        <scheme val="minor"/>
      </rPr>
      <t>normalized</t>
    </r>
  </si>
  <si>
    <r>
      <t xml:space="preserve">Profit before tax </t>
    </r>
    <r>
      <rPr>
        <b/>
        <sz val="12"/>
        <color rgb="FF00B0F0"/>
        <rFont val="Calibri"/>
        <family val="2"/>
        <charset val="161"/>
        <scheme val="minor"/>
      </rPr>
      <t>reported</t>
    </r>
  </si>
  <si>
    <r>
      <t xml:space="preserve">Profit before tax </t>
    </r>
    <r>
      <rPr>
        <b/>
        <sz val="12"/>
        <color rgb="FF00B0F0"/>
        <rFont val="Calibri"/>
        <family val="2"/>
        <charset val="161"/>
        <scheme val="minor"/>
      </rPr>
      <t>normalized</t>
    </r>
  </si>
  <si>
    <r>
      <t xml:space="preserve">Net profit </t>
    </r>
    <r>
      <rPr>
        <b/>
        <sz val="12"/>
        <color rgb="FF00B0F0"/>
        <rFont val="Calibri"/>
        <family val="2"/>
        <charset val="161"/>
        <scheme val="minor"/>
      </rPr>
      <t>core</t>
    </r>
    <r>
      <rPr>
        <b/>
        <sz val="12"/>
        <color indexed="18"/>
        <rFont val="Calibri"/>
        <family val="2"/>
        <charset val="161"/>
        <scheme val="minor"/>
      </rPr>
      <t xml:space="preserve"> </t>
    </r>
  </si>
  <si>
    <r>
      <t xml:space="preserve">Net profit </t>
    </r>
    <r>
      <rPr>
        <b/>
        <sz val="12"/>
        <color rgb="FF00B0F0"/>
        <rFont val="Calibri"/>
        <family val="2"/>
        <charset val="161"/>
        <scheme val="minor"/>
      </rPr>
      <t>normalized</t>
    </r>
  </si>
  <si>
    <t>Net profit from continuing operations attributable to SHs</t>
  </si>
  <si>
    <t>Tangible equity</t>
  </si>
  <si>
    <t>Total equity</t>
  </si>
  <si>
    <r>
      <t xml:space="preserve">Net profit over revenues </t>
    </r>
    <r>
      <rPr>
        <b/>
        <sz val="12"/>
        <color rgb="FF00B0F0"/>
        <rFont val="Calibri"/>
        <family val="2"/>
        <charset val="161"/>
        <scheme val="minor"/>
      </rPr>
      <t>core adjusted for AT1 coupon</t>
    </r>
  </si>
  <si>
    <t>NPE ratio</t>
  </si>
  <si>
    <r>
      <rPr>
        <b/>
        <sz val="12"/>
        <color rgb="FF000080"/>
        <rFont val="Calibri"/>
        <family val="2"/>
        <charset val="161"/>
        <scheme val="minor"/>
      </rPr>
      <t>Cost-to-income ratio</t>
    </r>
    <r>
      <rPr>
        <b/>
        <sz val="12"/>
        <color theme="1"/>
        <rFont val="Calibri"/>
        <family val="2"/>
        <charset val="161"/>
        <scheme val="minor"/>
      </rPr>
      <t xml:space="preserve"> </t>
    </r>
    <r>
      <rPr>
        <b/>
        <sz val="12"/>
        <color rgb="FF00B0F0"/>
        <rFont val="Calibri"/>
        <family val="2"/>
        <charset val="161"/>
        <scheme val="minor"/>
      </rPr>
      <t>core</t>
    </r>
  </si>
  <si>
    <t>Financial highlights</t>
  </si>
  <si>
    <t>EPS calculations</t>
  </si>
  <si>
    <t>Consolidated balance sheet</t>
  </si>
  <si>
    <t>Analysis of selected balance sheet items</t>
  </si>
  <si>
    <t>Loans per customer type</t>
  </si>
  <si>
    <t>Deposits per product type</t>
  </si>
  <si>
    <t>Customer funds</t>
  </si>
  <si>
    <t>Operating costs analysis</t>
  </si>
  <si>
    <t>P&amp;L segment view</t>
  </si>
  <si>
    <t>Performing loans</t>
  </si>
  <si>
    <t>Loan portfolio quality</t>
  </si>
  <si>
    <t>IFRS9 stages</t>
  </si>
  <si>
    <t>NPE flow decomposition</t>
  </si>
  <si>
    <t>Capital adequacy</t>
  </si>
  <si>
    <t>Other information</t>
  </si>
  <si>
    <t xml:space="preserve">          of which staff costs recurring</t>
  </si>
  <si>
    <t xml:space="preserve">          of which depreciation recurring</t>
  </si>
  <si>
    <t>Underlying cost of risk</t>
  </si>
  <si>
    <t>Servicing fees &amp; credit protection costs</t>
  </si>
  <si>
    <t>Associates' income</t>
  </si>
  <si>
    <t>Core operating income</t>
  </si>
  <si>
    <t>Core operating profit</t>
  </si>
  <si>
    <t>AT1 coupon (mn)</t>
  </si>
  <si>
    <t>Normalized operating profit</t>
  </si>
  <si>
    <t>Normalized operating profit adjusted for AT1 cpn (mn)</t>
  </si>
  <si>
    <t>Reported net profit</t>
  </si>
  <si>
    <t>Reported net profit adjusted for AT1 cpn (mn)</t>
  </si>
  <si>
    <t>Outstanding number of shares (#)</t>
  </si>
  <si>
    <t>4. Cumulative provisions</t>
  </si>
  <si>
    <t>5. Net loans</t>
  </si>
  <si>
    <t>14. Total assets</t>
  </si>
  <si>
    <t>24. Total liabilities</t>
  </si>
  <si>
    <t>27. Non controlling Interests</t>
  </si>
  <si>
    <t>28. Total equity</t>
  </si>
  <si>
    <t>29. Tangible equity</t>
  </si>
  <si>
    <t>30. Total liabilities &amp; equity</t>
  </si>
  <si>
    <t>1. Loans to corporate entities</t>
  </si>
  <si>
    <t>3. Senior notes (HAPS securitizations)</t>
  </si>
  <si>
    <t>7. Total gross loans to customers</t>
  </si>
  <si>
    <t>6. Loans to individuals</t>
  </si>
  <si>
    <t>4. Total securities</t>
  </si>
  <si>
    <t xml:space="preserve">4. Total customer deposits </t>
  </si>
  <si>
    <t>4. Total customer deposits</t>
  </si>
  <si>
    <t>Core income</t>
  </si>
  <si>
    <t>Total net revenues</t>
  </si>
  <si>
    <t>Operating cost</t>
  </si>
  <si>
    <t>Profit before tax &amp; provisions</t>
  </si>
  <si>
    <t>Non controlling Interests</t>
  </si>
  <si>
    <t xml:space="preserve">Net profit / (Loss) attributable to shareholders </t>
  </si>
  <si>
    <t>Net Profit / (Loss) attributable to shareholders from discontinued operations</t>
  </si>
  <si>
    <t>Non controlling interests from discontinued operations</t>
  </si>
  <si>
    <t>Net loans</t>
  </si>
  <si>
    <t>Fixed income securities</t>
  </si>
  <si>
    <t>IRS asset side</t>
  </si>
  <si>
    <t>Other assets</t>
  </si>
  <si>
    <t>Interest income</t>
  </si>
  <si>
    <t>Customer deposits</t>
  </si>
  <si>
    <t>Due to banks including TLTRO</t>
  </si>
  <si>
    <t>Debt securities</t>
  </si>
  <si>
    <t>IRS liability side</t>
  </si>
  <si>
    <t>Other liabilities</t>
  </si>
  <si>
    <t>Interest expense</t>
  </si>
  <si>
    <t>Letters of guarantee</t>
  </si>
  <si>
    <t>Investment banking</t>
  </si>
  <si>
    <t>Asset management</t>
  </si>
  <si>
    <t>Funds transfer</t>
  </si>
  <si>
    <t>FX fees</t>
  </si>
  <si>
    <t>Rental and other income</t>
  </si>
  <si>
    <t>Legal - business services</t>
  </si>
  <si>
    <t>Pre provision income (PPI)</t>
  </si>
  <si>
    <t>Loan impairment</t>
  </si>
  <si>
    <t>Other impairment</t>
  </si>
  <si>
    <t>Associates income</t>
  </si>
  <si>
    <t>NIM over assets</t>
  </si>
  <si>
    <t>NFI and rental Income over assets</t>
  </si>
  <si>
    <t>Cost to core income</t>
  </si>
  <si>
    <t>PPI over assets</t>
  </si>
  <si>
    <t>Cost of risk</t>
  </si>
  <si>
    <t>Corporate lending</t>
  </si>
  <si>
    <t xml:space="preserve">     &gt;&gt; Large corporate</t>
  </si>
  <si>
    <t>Retail lending</t>
  </si>
  <si>
    <t>Trade (retail &amp; wholesale)</t>
  </si>
  <si>
    <t>Construction &amp; real estate</t>
  </si>
  <si>
    <t>Transportation (incl shipping)</t>
  </si>
  <si>
    <t>Gross loans</t>
  </si>
  <si>
    <t>1. Loans to businesses</t>
  </si>
  <si>
    <t>5. Loans to individuals</t>
  </si>
  <si>
    <t>6. Total gross loans to customers</t>
  </si>
  <si>
    <t>Loans in arrears &gt; 90 days</t>
  </si>
  <si>
    <t>4. Loans to individuals</t>
  </si>
  <si>
    <t>5. Total loans in arrears</t>
  </si>
  <si>
    <t>5. Total loans to customers</t>
  </si>
  <si>
    <t>Loans in arrears &gt; 90 days / gross loans</t>
  </si>
  <si>
    <t>Corporate and public loans</t>
  </si>
  <si>
    <t>Phased in data</t>
  </si>
  <si>
    <t>Fully loaded data</t>
  </si>
  <si>
    <r>
      <t>2. Seasonal OPEKEPE</t>
    </r>
    <r>
      <rPr>
        <b/>
        <vertAlign val="superscript"/>
        <sz val="12"/>
        <color rgb="FF000080"/>
        <rFont val="Calibri"/>
        <family val="2"/>
        <charset val="161"/>
        <scheme val="minor"/>
      </rPr>
      <t>(1)</t>
    </r>
  </si>
  <si>
    <t>(1) OPEKEPE relates to a seasonal funding facility to Greek farmers (EU subsidized bridge financing); the loan is granted close to year end and is repaid early next year</t>
  </si>
  <si>
    <r>
      <t>4. Assets under management</t>
    </r>
    <r>
      <rPr>
        <b/>
        <vertAlign val="superscript"/>
        <sz val="12"/>
        <color rgb="FF000080"/>
        <rFont val="Calibri"/>
        <family val="2"/>
        <charset val="161"/>
        <scheme val="minor"/>
      </rPr>
      <t>3</t>
    </r>
  </si>
  <si>
    <t>(3) Assets under management include MFMC assets, Private Banking assets, Brokerage and Custody. Iolcus is included as at 30 March 2022.</t>
  </si>
  <si>
    <t>(2) This line is reported as of Q1.21 onwards, while previously it was reported in other operating income</t>
  </si>
  <si>
    <r>
      <t xml:space="preserve">Net fee and commission income </t>
    </r>
    <r>
      <rPr>
        <vertAlign val="superscript"/>
        <sz val="12"/>
        <color rgb="FF000080"/>
        <rFont val="Calibri"/>
        <family val="2"/>
        <charset val="161"/>
        <scheme val="minor"/>
      </rPr>
      <t>(1)</t>
    </r>
  </si>
  <si>
    <r>
      <t xml:space="preserve">Rental income and income from non-banking activities </t>
    </r>
    <r>
      <rPr>
        <vertAlign val="superscript"/>
        <sz val="12"/>
        <color rgb="FF000080"/>
        <rFont val="Calibri"/>
        <family val="2"/>
        <charset val="161"/>
        <scheme val="minor"/>
      </rPr>
      <t>(2)</t>
    </r>
  </si>
  <si>
    <r>
      <t xml:space="preserve">Administrative expenses </t>
    </r>
    <r>
      <rPr>
        <vertAlign val="superscript"/>
        <sz val="12"/>
        <color rgb="FF000080"/>
        <rFont val="Calibri"/>
        <family val="2"/>
        <charset val="161"/>
        <scheme val="minor"/>
      </rPr>
      <t>(1)</t>
    </r>
  </si>
  <si>
    <t>* CORE: excluding one off elements and trading/other income; NORMALIZED: excluding one off elements and including normalized/recurring trading/other income</t>
  </si>
  <si>
    <r>
      <t>Other</t>
    </r>
    <r>
      <rPr>
        <vertAlign val="superscript"/>
        <sz val="12"/>
        <color rgb="FF000080"/>
        <rFont val="Calibri"/>
        <family val="2"/>
        <charset val="161"/>
        <scheme val="minor"/>
      </rPr>
      <t>(1)</t>
    </r>
  </si>
  <si>
    <r>
      <t>Other</t>
    </r>
    <r>
      <rPr>
        <vertAlign val="superscript"/>
        <sz val="12"/>
        <color rgb="FF000080"/>
        <rFont val="Calibri"/>
        <family val="2"/>
        <charset val="161"/>
        <scheme val="minor"/>
      </rPr>
      <t>(2)</t>
    </r>
  </si>
  <si>
    <t>(1) Q3 2023 other staff costs comprise reversal of talent retention accruals due to share buyback</t>
  </si>
  <si>
    <t>(2) Other includes Net gain/(losses) from sale of property and equipment and intangible assets</t>
  </si>
  <si>
    <t>(1) Profit before tax illustrated on the table excludes cards merchant acquiring business consideration and non-recurring operating costs</t>
  </si>
  <si>
    <r>
      <t>Profit before tax</t>
    </r>
    <r>
      <rPr>
        <b/>
        <vertAlign val="superscript"/>
        <sz val="12"/>
        <color rgb="FF000080"/>
        <rFont val="Calibri"/>
        <family val="2"/>
        <charset val="161"/>
        <scheme val="minor"/>
      </rPr>
      <t>(1)</t>
    </r>
  </si>
  <si>
    <t>* Corporate lending excludes seasonal OPEKEPE loan of €1,474mn for Dec.21 &amp; €1,517mn for Dec.22</t>
  </si>
  <si>
    <t>G&amp;A costs recurring</t>
  </si>
  <si>
    <t>Trading &amp; other income</t>
  </si>
  <si>
    <t>Other operating result</t>
  </si>
  <si>
    <t>(1)  Q1, Q2, Q3.22 net fee  &amp; rental income and general expenses have been restated to reflect the reclassification of €6.5mn relating to fees paid to card services provider, which were previously included within general expenses to net fee income as an expense. Comparative information have been restated backwards for 2021 in order to align with the aforementioned changes; Q3.23 general expenses include €16mn extraordinary costs to mitigate the impact of extreme weahter phenomena</t>
  </si>
  <si>
    <t>Fee, trading and other operating result one offs</t>
  </si>
  <si>
    <r>
      <t xml:space="preserve">Other impairment </t>
    </r>
    <r>
      <rPr>
        <vertAlign val="superscript"/>
        <sz val="12"/>
        <color rgb="FF000080"/>
        <rFont val="Calibri"/>
        <family val="2"/>
        <charset val="161"/>
        <scheme val="minor"/>
      </rPr>
      <t>(7)</t>
    </r>
  </si>
  <si>
    <t>(7) Q3.2023 impairments on other assets include small impact from Sunshine closing</t>
  </si>
  <si>
    <t>AT1 coupon</t>
  </si>
  <si>
    <t>Core operating profit adjusted for AT1 cpn</t>
  </si>
  <si>
    <t>PIRAEUS BANK CREDIT RATINGS
(outlook)</t>
  </si>
  <si>
    <t>EMPLOYEES PER COUNTRY (#)</t>
  </si>
  <si>
    <t>NUMBER OF SHARES</t>
  </si>
  <si>
    <t>SHARE &amp; STOCK MARKET DATA</t>
  </si>
  <si>
    <t>BRANCHES PER COUNTRY (#)</t>
  </si>
  <si>
    <t>STAFF COSTS</t>
  </si>
  <si>
    <t xml:space="preserve">G&amp;A COSTS  </t>
  </si>
  <si>
    <t>GROUP FIGURES</t>
  </si>
  <si>
    <r>
      <t>Net trading result</t>
    </r>
    <r>
      <rPr>
        <vertAlign val="superscript"/>
        <sz val="12"/>
        <color rgb="FF000080"/>
        <rFont val="Calibri"/>
        <family val="2"/>
        <charset val="161"/>
        <scheme val="minor"/>
      </rPr>
      <t>1</t>
    </r>
  </si>
  <si>
    <r>
      <t>Other operating result</t>
    </r>
    <r>
      <rPr>
        <vertAlign val="superscript"/>
        <sz val="12"/>
        <color rgb="FF000080"/>
        <rFont val="Calibri"/>
        <family val="2"/>
        <charset val="161"/>
        <scheme val="minor"/>
      </rPr>
      <t>2</t>
    </r>
  </si>
  <si>
    <r>
      <t xml:space="preserve">       of which inorganic (losses on NPE sales)</t>
    </r>
    <r>
      <rPr>
        <vertAlign val="superscript"/>
        <sz val="12"/>
        <color rgb="FF000080"/>
        <rFont val="Calibri"/>
        <family val="2"/>
        <charset val="161"/>
        <scheme val="minor"/>
      </rPr>
      <t>3</t>
    </r>
  </si>
  <si>
    <r>
      <t xml:space="preserve">       of which one off items</t>
    </r>
    <r>
      <rPr>
        <vertAlign val="superscript"/>
        <sz val="12"/>
        <color rgb="FF000080"/>
        <rFont val="Calibri"/>
        <family val="2"/>
        <charset val="161"/>
        <scheme val="minor"/>
      </rPr>
      <t>4</t>
    </r>
  </si>
  <si>
    <r>
      <t xml:space="preserve">Tax </t>
    </r>
    <r>
      <rPr>
        <b/>
        <sz val="12"/>
        <color rgb="FF00B0F0"/>
        <rFont val="Calibri"/>
        <family val="2"/>
        <charset val="161"/>
        <scheme val="minor"/>
      </rPr>
      <t>normalized</t>
    </r>
    <r>
      <rPr>
        <b/>
        <vertAlign val="superscript"/>
        <sz val="12"/>
        <color rgb="FF00B0F0"/>
        <rFont val="Calibri"/>
        <family val="2"/>
        <charset val="161"/>
        <scheme val="minor"/>
      </rPr>
      <t>5</t>
    </r>
  </si>
  <si>
    <r>
      <t>Gross loans</t>
    </r>
    <r>
      <rPr>
        <b/>
        <vertAlign val="superscript"/>
        <sz val="12"/>
        <color rgb="FF000080"/>
        <rFont val="Calibri"/>
        <family val="2"/>
        <charset val="161"/>
        <scheme val="minor"/>
      </rPr>
      <t>6</t>
    </r>
  </si>
  <si>
    <r>
      <rPr>
        <b/>
        <sz val="12"/>
        <color rgb="FF000080"/>
        <rFont val="Calibri"/>
        <family val="2"/>
        <charset val="161"/>
        <scheme val="minor"/>
      </rPr>
      <t>Net loans</t>
    </r>
    <r>
      <rPr>
        <b/>
        <sz val="12"/>
        <color rgb="FFFF0000"/>
        <rFont val="Calibri"/>
        <family val="2"/>
        <charset val="161"/>
        <scheme val="minor"/>
      </rPr>
      <t xml:space="preserve"> </t>
    </r>
    <r>
      <rPr>
        <sz val="12"/>
        <color rgb="FF000080"/>
        <rFont val="Calibri"/>
        <family val="2"/>
        <charset val="161"/>
        <scheme val="minor"/>
      </rPr>
      <t>(excl. seasonal OPEKEPE)</t>
    </r>
    <r>
      <rPr>
        <vertAlign val="superscript"/>
        <sz val="12"/>
        <color rgb="FF000080"/>
        <rFont val="Calibri"/>
        <family val="2"/>
        <charset val="161"/>
        <scheme val="minor"/>
      </rPr>
      <t>6</t>
    </r>
  </si>
  <si>
    <r>
      <t xml:space="preserve">      </t>
    </r>
    <r>
      <rPr>
        <sz val="12"/>
        <color rgb="FF000080"/>
        <rFont val="Calibri"/>
        <family val="2"/>
        <charset val="161"/>
        <scheme val="minor"/>
      </rPr>
      <t>of which NPEs</t>
    </r>
    <r>
      <rPr>
        <vertAlign val="superscript"/>
        <sz val="12"/>
        <color rgb="FF000080"/>
        <rFont val="Calibri"/>
        <family val="2"/>
        <charset val="161"/>
        <scheme val="minor"/>
      </rPr>
      <t>6</t>
    </r>
  </si>
  <si>
    <r>
      <t>CET 1 ratio FL</t>
    </r>
    <r>
      <rPr>
        <b/>
        <vertAlign val="superscript"/>
        <sz val="12"/>
        <color rgb="FF000080"/>
        <rFont val="Calibri"/>
        <family val="2"/>
        <charset val="161"/>
        <scheme val="minor"/>
      </rPr>
      <t>7</t>
    </r>
  </si>
  <si>
    <r>
      <t>Total capital ratio FL</t>
    </r>
    <r>
      <rPr>
        <b/>
        <vertAlign val="superscript"/>
        <sz val="12"/>
        <color rgb="FF000080"/>
        <rFont val="Calibri"/>
        <family val="2"/>
        <charset val="161"/>
        <scheme val="minor"/>
      </rPr>
      <t>7</t>
    </r>
  </si>
  <si>
    <t>2. Other operating result includes dividend income</t>
  </si>
  <si>
    <t>3. Q3.2023 onwards inorganic impairments for loans include only losses on NPE sales transactions</t>
  </si>
  <si>
    <t>4. For an analysis of all PnL one-off items refer to spreadsheet "EPS calculations"</t>
  </si>
  <si>
    <t>5. Normalized profits are calculated under an assumption of normalized tax rate. A projected effective corporate tax rate of 26% has been used for quarters with tax normalization, based on Piraeus business plan assumptions for 2023</t>
  </si>
  <si>
    <t>6. Gross loans, Net loans and NPEs include loans and advances to customers fair valued through P&amp;L</t>
  </si>
  <si>
    <t>7. Capital ratios for June and September 2023 are pro-forma for the RWA relief from the Sunrise 3, Solar NPE securitizations and the RWA of the Delta and Wheel NPE portfolios, classified as HFS as at 30 September 2023</t>
  </si>
  <si>
    <r>
      <t xml:space="preserve">Impairment on other assets </t>
    </r>
    <r>
      <rPr>
        <vertAlign val="superscript"/>
        <sz val="12"/>
        <rFont val="Calibri"/>
        <family val="2"/>
        <charset val="161"/>
        <scheme val="minor"/>
      </rPr>
      <t>(2)</t>
    </r>
  </si>
  <si>
    <r>
      <t xml:space="preserve">Net trading result normalized </t>
    </r>
    <r>
      <rPr>
        <vertAlign val="superscript"/>
        <sz val="12"/>
        <rFont val="Calibri"/>
        <family val="2"/>
        <charset val="161"/>
        <scheme val="minor"/>
      </rPr>
      <t>(3)</t>
    </r>
  </si>
  <si>
    <r>
      <t xml:space="preserve">Other operating result normalized </t>
    </r>
    <r>
      <rPr>
        <vertAlign val="superscript"/>
        <sz val="12"/>
        <rFont val="Calibri"/>
        <family val="2"/>
        <charset val="161"/>
        <scheme val="minor"/>
      </rPr>
      <t>(4)</t>
    </r>
  </si>
  <si>
    <r>
      <t>Inorganic impairments (losses on NPE sales)</t>
    </r>
    <r>
      <rPr>
        <vertAlign val="superscript"/>
        <sz val="12"/>
        <rFont val="Calibri"/>
        <family val="2"/>
        <charset val="161"/>
        <scheme val="minor"/>
      </rPr>
      <t>(5)</t>
    </r>
  </si>
  <si>
    <r>
      <t>Operating costs one offs</t>
    </r>
    <r>
      <rPr>
        <vertAlign val="superscript"/>
        <sz val="12"/>
        <rFont val="Calibri"/>
        <family val="2"/>
        <charset val="161"/>
        <scheme val="minor"/>
      </rPr>
      <t>(6)</t>
    </r>
  </si>
  <si>
    <r>
      <t xml:space="preserve">Tax normalization adjustment </t>
    </r>
    <r>
      <rPr>
        <vertAlign val="superscript"/>
        <sz val="12"/>
        <rFont val="Calibri"/>
        <family val="2"/>
        <charset val="161"/>
        <scheme val="minor"/>
      </rPr>
      <t>(7)</t>
    </r>
  </si>
  <si>
    <t>(2) Q3.2023 impairments on other assets include small impact from Sunshine closing</t>
  </si>
  <si>
    <t>(4) Other operating result includes dividend income</t>
  </si>
  <si>
    <t>(5) Q3.2023 onwards inorganic impairments for loans include only losses on NPE sales transactions</t>
  </si>
  <si>
    <t>(6) Q3.2023 one-offs comprise €15mn reversal of talent retention accruals due to share buyback and €1mn VES costs booked in staff costs and €15.5mn extraordinary costs to mitigate impact from wildfires and extreme weather phenomena booked in G&amp;A costs</t>
  </si>
  <si>
    <t>(7) Normalized profits are calculated under an assumption of normalized tax rate. A projected effective corporate tax rate of 26% has been used for quarters with tax normalization, based on Piraeus business plan assumptions for 2023</t>
  </si>
  <si>
    <r>
      <t xml:space="preserve">Net trading result </t>
    </r>
    <r>
      <rPr>
        <vertAlign val="superscript"/>
        <sz val="12"/>
        <color rgb="FF000080"/>
        <rFont val="Calibri"/>
        <family val="2"/>
        <charset val="161"/>
        <scheme val="minor"/>
      </rPr>
      <t>(3)</t>
    </r>
  </si>
  <si>
    <r>
      <t xml:space="preserve">of which acquiring fees </t>
    </r>
    <r>
      <rPr>
        <i/>
        <vertAlign val="superscript"/>
        <sz val="12"/>
        <color rgb="FF000080"/>
        <rFont val="Calibri"/>
        <family val="2"/>
        <charset val="161"/>
        <scheme val="minor"/>
      </rPr>
      <t>(4)</t>
    </r>
  </si>
  <si>
    <r>
      <t>o/w inorganic (losses on NPE sales)</t>
    </r>
    <r>
      <rPr>
        <vertAlign val="superscript"/>
        <sz val="12"/>
        <color theme="0" tint="-0.499984740745262"/>
        <rFont val="Calibri"/>
        <family val="2"/>
        <charset val="161"/>
        <scheme val="minor"/>
      </rPr>
      <t>(5)</t>
    </r>
  </si>
  <si>
    <r>
      <t>o/w servicing fees &amp; credit protection costs</t>
    </r>
    <r>
      <rPr>
        <vertAlign val="superscript"/>
        <sz val="12"/>
        <color theme="0" tint="-0.499984740745262"/>
        <rFont val="Calibri"/>
        <family val="2"/>
        <charset val="161"/>
        <scheme val="minor"/>
      </rPr>
      <t>(6)</t>
    </r>
  </si>
  <si>
    <r>
      <t>Normalized Income tax expense</t>
    </r>
    <r>
      <rPr>
        <i/>
        <vertAlign val="superscript"/>
        <sz val="12"/>
        <color rgb="FF000080"/>
        <rFont val="Calibri"/>
        <family val="2"/>
        <charset val="161"/>
        <scheme val="minor"/>
      </rPr>
      <t>(8)</t>
    </r>
  </si>
  <si>
    <t>(4)  Acquiring fees for 2021 and 2022 have been classified as one-off  for comparability purposes</t>
  </si>
  <si>
    <t>(6) As of Q1.21,  fees related to the management of NPEs (AuM and success fees) and fees payable in the context of synthetic securitizations are reported  separately as servicing fees</t>
  </si>
  <si>
    <t>(8) Normalized profits are calculated under an assumption of normalized tax rate. A projected effective corporate tax rate of 26% has been used for quarters with tax normalization, based on Piraeus business plan assumptions for 2023</t>
  </si>
  <si>
    <t>1. Q3.23 net trading result mainly derived from market making and other primary market activity</t>
  </si>
  <si>
    <t>(3) Q3.23 net trading result mainly derived from market making and other primary market activity</t>
  </si>
  <si>
    <t xml:space="preserve">(2) Investment securities refer to AMOC and OCI portfolio. AMOC refers to securities portfolio held at amortised cost, and OCI to securities portfolio held at fair value through other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</si>
</sst>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3" formatCode="_-* #,##0.00_-;\-* #,##0.00_-;_-* &quot;-&quot;??_-;_-@_-"/>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 #,##0.00\ _Δ_ρ_χ_-;\-* #,##0.00\ _Δ_ρ_χ_-;_-* &quot;-&quot;??\ _Δ_ρ_χ_-;_-@_-"/>
    <numFmt numFmtId="169" formatCode="0.0%"/>
    <numFmt numFmtId="170" formatCode="0.0"/>
    <numFmt numFmtId="171" formatCode="#,##0.000"/>
    <numFmt numFmtId="172" formatCode="_-* #,##0.00\ [$€]_-;\-* #,##0.00\ [$€]_-;_-* &quot;-&quot;??\ [$€]_-;_-@_-"/>
    <numFmt numFmtId="173" formatCode="d/m/yyyy;@"/>
    <numFmt numFmtId="174" formatCode="#,##0.0;&quot;( &quot;#,##0.0&quot;)&quot;"/>
    <numFmt numFmtId="175" formatCode="d\ mmm\ yyyy"/>
    <numFmt numFmtId="176" formatCode="#0.00000000"/>
    <numFmt numFmtId="177" formatCode="#,###.00"/>
    <numFmt numFmtId="178" formatCode="#,###.000"/>
    <numFmt numFmtId="179" formatCode="0.000"/>
    <numFmt numFmtId="180" formatCode="#.000"/>
    <numFmt numFmtId="181" formatCode="#"/>
    <numFmt numFmtId="182" formatCode="#.00"/>
    <numFmt numFmtId="183" formatCode="#,###.0"/>
    <numFmt numFmtId="184" formatCode="#,###.0000"/>
    <numFmt numFmtId="185" formatCode="#,###.00000"/>
    <numFmt numFmtId="186" formatCode="#,###.000000"/>
    <numFmt numFmtId="187" formatCode="#,###.0000000"/>
    <numFmt numFmtId="188" formatCode="#,###.00000000"/>
    <numFmt numFmtId="189" formatCode="#,##0\ ;\-#,##0\ "/>
    <numFmt numFmtId="190" formatCode="#,#00"/>
    <numFmt numFmtId="191" formatCode="00\ 00\ 00\ 00\ 00"/>
    <numFmt numFmtId="192" formatCode="#,##0\ &quot;Δρχ&quot;;[Red]\-#,##0\ &quot;Δρχ&quot;"/>
    <numFmt numFmtId="193" formatCode="#,##0.00\ &quot;Δρχ&quot;;[Red]\-#,##0.00\ &quot;Δρχ&quot;"/>
    <numFmt numFmtId="194" formatCode="_-* #,##0_-;\-* #,##0_-;_-* &quot;-&quot;??_-;_-@_-"/>
    <numFmt numFmtId="195" formatCode="#,##0.00;&quot;( &quot;#,##0.00&quot;)&quot;"/>
    <numFmt numFmtId="196" formatCode="#,##0.0000;&quot;( &quot;#,##0.0000&quot;)&quot;"/>
    <numFmt numFmtId="197" formatCode="_-* #,##0.00\ [$€-1]_-;\-* #,##0.00\ [$€-1]_-;_-* &quot;-&quot;??\ [$€-1]_-"/>
    <numFmt numFmtId="198" formatCode="#,##0;&quot;( &quot;#,##0&quot;)&quot;"/>
    <numFmt numFmtId="199" formatCode="#,##0.0"/>
    <numFmt numFmtId="200" formatCode="0.0000000"/>
    <numFmt numFmtId="201" formatCode="_-* #,##0.000_-;\-* #,##0.000_-;_-* &quot;-&quot;??_-;_-@_-"/>
    <numFmt numFmtId="202" formatCode="0.0000"/>
    <numFmt numFmtId="203" formatCode="_-* #,##0.0_-;\-* #,##0.0_-;_-* &quot;-&quot;??_-;_-@_-"/>
    <numFmt numFmtId="204" formatCode="_-* #,##0.0000_-;\-* #,##0.0000_-;_-* &quot;-&quot;??_-;_-@_-"/>
    <numFmt numFmtId="205" formatCode="0.00000"/>
    <numFmt numFmtId="206" formatCode="#,##0.000000"/>
  </numFmts>
  <fonts count="161" x14ac:knownFonts="1">
    <font>
      <sz val="10"/>
      <name val="Arial"/>
      <charset val="161"/>
    </font>
    <font>
      <sz val="11"/>
      <color theme="1"/>
      <name val="Calibri"/>
      <family val="2"/>
      <scheme val="minor"/>
    </font>
    <font>
      <sz val="11"/>
      <color theme="1"/>
      <name val="Calibri"/>
      <family val="2"/>
      <scheme val="minor"/>
    </font>
    <font>
      <sz val="10"/>
      <name val="Arial"/>
      <family val="2"/>
      <charset val="161"/>
    </font>
    <font>
      <sz val="10"/>
      <name val="Arial"/>
      <family val="2"/>
      <charset val="161"/>
    </font>
    <font>
      <b/>
      <sz val="18"/>
      <color indexed="56"/>
      <name val="Cambria"/>
      <family val="2"/>
      <charset val="161"/>
    </font>
    <font>
      <b/>
      <sz val="15"/>
      <color indexed="56"/>
      <name val="Calibri"/>
      <family val="2"/>
      <charset val="161"/>
    </font>
    <font>
      <b/>
      <sz val="13"/>
      <color indexed="56"/>
      <name val="Calibri"/>
      <family val="2"/>
      <charset val="161"/>
    </font>
    <font>
      <b/>
      <sz val="11"/>
      <color indexed="56"/>
      <name val="Calibri"/>
      <family val="2"/>
      <charset val="161"/>
    </font>
    <font>
      <sz val="11"/>
      <color indexed="17"/>
      <name val="Calibri"/>
      <family val="2"/>
      <charset val="161"/>
    </font>
    <font>
      <sz val="11"/>
      <color indexed="20"/>
      <name val="Calibri"/>
      <family val="2"/>
      <charset val="161"/>
    </font>
    <font>
      <sz val="11"/>
      <color indexed="60"/>
      <name val="Calibri"/>
      <family val="2"/>
      <charset val="161"/>
    </font>
    <font>
      <sz val="11"/>
      <color indexed="62"/>
      <name val="Calibri"/>
      <family val="2"/>
      <charset val="161"/>
    </font>
    <font>
      <b/>
      <sz val="11"/>
      <color indexed="63"/>
      <name val="Calibri"/>
      <family val="2"/>
      <charset val="161"/>
    </font>
    <font>
      <b/>
      <sz val="11"/>
      <color indexed="52"/>
      <name val="Calibri"/>
      <family val="2"/>
      <charset val="161"/>
    </font>
    <font>
      <sz val="11"/>
      <color indexed="52"/>
      <name val="Calibri"/>
      <family val="2"/>
      <charset val="161"/>
    </font>
    <font>
      <b/>
      <sz val="11"/>
      <color indexed="9"/>
      <name val="Calibri"/>
      <family val="2"/>
      <charset val="161"/>
    </font>
    <font>
      <sz val="11"/>
      <color indexed="10"/>
      <name val="Calibri"/>
      <family val="2"/>
      <charset val="161"/>
    </font>
    <font>
      <i/>
      <sz val="11"/>
      <color indexed="23"/>
      <name val="Calibri"/>
      <family val="2"/>
      <charset val="161"/>
    </font>
    <font>
      <b/>
      <sz val="11"/>
      <color indexed="8"/>
      <name val="Calibri"/>
      <family val="2"/>
      <charset val="161"/>
    </font>
    <font>
      <sz val="11"/>
      <color indexed="9"/>
      <name val="Calibri"/>
      <family val="2"/>
      <charset val="161"/>
    </font>
    <font>
      <sz val="11"/>
      <color indexed="8"/>
      <name val="Calibri"/>
      <family val="2"/>
      <charset val="161"/>
    </font>
    <font>
      <sz val="10"/>
      <name val="Arial Greek"/>
      <charset val="161"/>
    </font>
    <font>
      <sz val="10"/>
      <name val="Arial"/>
      <family val="2"/>
      <charset val="161"/>
    </font>
    <font>
      <sz val="8"/>
      <name val="Arial"/>
      <family val="2"/>
      <charset val="161"/>
    </font>
    <font>
      <sz val="10"/>
      <color indexed="8"/>
      <name val="Arial"/>
      <family val="2"/>
      <charset val="161"/>
    </font>
    <font>
      <sz val="10"/>
      <color indexed="47"/>
      <name val="Arial"/>
      <family val="2"/>
    </font>
    <font>
      <sz val="14"/>
      <name val="Arial"/>
      <family val="2"/>
    </font>
    <font>
      <b/>
      <sz val="14"/>
      <color indexed="9"/>
      <name val="Arial"/>
      <family val="2"/>
    </font>
    <font>
      <b/>
      <sz val="10"/>
      <color indexed="9"/>
      <name val="Arial"/>
      <family val="2"/>
    </font>
    <font>
      <sz val="10"/>
      <name val="Arial"/>
      <family val="2"/>
    </font>
    <font>
      <b/>
      <sz val="10"/>
      <name val="Arial"/>
      <family val="2"/>
    </font>
    <font>
      <u/>
      <sz val="12"/>
      <color indexed="18"/>
      <name val="Arial"/>
      <family val="2"/>
      <charset val="161"/>
    </font>
    <font>
      <sz val="10"/>
      <name val="Arial"/>
      <family val="2"/>
      <charset val="204"/>
    </font>
    <font>
      <sz val="1"/>
      <color indexed="8"/>
      <name val="Courier"/>
      <family val="1"/>
      <charset val="161"/>
    </font>
    <font>
      <sz val="10"/>
      <color indexed="8"/>
      <name val="Arial"/>
      <family val="2"/>
      <charset val="161"/>
    </font>
    <font>
      <b/>
      <sz val="1"/>
      <color indexed="8"/>
      <name val="Courier"/>
      <family val="1"/>
      <charset val="161"/>
    </font>
    <font>
      <sz val="10"/>
      <name val="MS Sans Serif"/>
      <family val="2"/>
      <charset val="161"/>
    </font>
    <font>
      <sz val="10"/>
      <color indexed="8"/>
      <name val="Arial"/>
      <family val="2"/>
      <charset val="204"/>
    </font>
    <font>
      <sz val="11"/>
      <color indexed="8"/>
      <name val="Calibri"/>
      <family val="2"/>
      <charset val="204"/>
    </font>
    <font>
      <sz val="10"/>
      <name val="Courier"/>
      <family val="1"/>
      <charset val="161"/>
    </font>
    <font>
      <sz val="10"/>
      <name val="MS Sans Serif"/>
      <family val="2"/>
      <charset val="161"/>
    </font>
    <font>
      <sz val="8"/>
      <color indexed="8"/>
      <name val="Trebuchet MS"/>
      <family val="2"/>
    </font>
    <font>
      <b/>
      <sz val="9"/>
      <color indexed="9"/>
      <name val="Trebuchet MS"/>
      <family val="2"/>
    </font>
    <font>
      <b/>
      <sz val="8"/>
      <color indexed="62"/>
      <name val="Trebuchet MS"/>
      <family val="2"/>
    </font>
    <font>
      <sz val="12"/>
      <color indexed="18"/>
      <name val="Calibri"/>
      <family val="2"/>
      <charset val="161"/>
      <scheme val="minor"/>
    </font>
    <font>
      <b/>
      <sz val="12"/>
      <color indexed="18"/>
      <name val="Calibri"/>
      <family val="2"/>
      <charset val="161"/>
      <scheme val="minor"/>
    </font>
    <font>
      <sz val="10"/>
      <name val="Calibri"/>
      <family val="2"/>
      <charset val="161"/>
      <scheme val="minor"/>
    </font>
    <font>
      <sz val="12"/>
      <color rgb="FF000080"/>
      <name val="Calibri"/>
      <family val="2"/>
      <charset val="161"/>
      <scheme val="minor"/>
    </font>
    <font>
      <b/>
      <sz val="12"/>
      <color rgb="FF000080"/>
      <name val="Calibri"/>
      <family val="2"/>
      <charset val="161"/>
      <scheme val="minor"/>
    </font>
    <font>
      <sz val="12"/>
      <name val="Calibri"/>
      <family val="2"/>
      <charset val="161"/>
      <scheme val="minor"/>
    </font>
    <font>
      <b/>
      <sz val="13"/>
      <color indexed="18"/>
      <name val="Calibri"/>
      <family val="2"/>
      <charset val="161"/>
      <scheme val="minor"/>
    </font>
    <font>
      <i/>
      <sz val="12"/>
      <color indexed="18"/>
      <name val="Calibri"/>
      <family val="2"/>
      <charset val="161"/>
      <scheme val="minor"/>
    </font>
    <font>
      <b/>
      <sz val="11"/>
      <color indexed="18"/>
      <name val="Calibri"/>
      <family val="2"/>
      <charset val="161"/>
      <scheme val="minor"/>
    </font>
    <font>
      <sz val="11"/>
      <color indexed="18"/>
      <name val="Calibri"/>
      <family val="2"/>
      <charset val="161"/>
      <scheme val="minor"/>
    </font>
    <font>
      <u/>
      <sz val="12"/>
      <color indexed="18"/>
      <name val="Calibri"/>
      <family val="2"/>
      <charset val="161"/>
      <scheme val="minor"/>
    </font>
    <font>
      <b/>
      <sz val="20"/>
      <color indexed="18"/>
      <name val="Calibri"/>
      <family val="2"/>
      <charset val="161"/>
      <scheme val="minor"/>
    </font>
    <font>
      <b/>
      <sz val="10"/>
      <name val="Calibri"/>
      <family val="2"/>
      <charset val="161"/>
      <scheme val="minor"/>
    </font>
    <font>
      <i/>
      <sz val="12"/>
      <color indexed="10"/>
      <name val="Calibri"/>
      <family val="2"/>
      <charset val="161"/>
      <scheme val="minor"/>
    </font>
    <font>
      <sz val="10"/>
      <color indexed="10"/>
      <name val="Calibri"/>
      <family val="2"/>
      <charset val="161"/>
      <scheme val="minor"/>
    </font>
    <font>
      <sz val="10"/>
      <color indexed="18"/>
      <name val="Calibri"/>
      <family val="2"/>
      <charset val="161"/>
      <scheme val="minor"/>
    </font>
    <font>
      <b/>
      <u/>
      <sz val="12"/>
      <color indexed="16"/>
      <name val="Calibri"/>
      <family val="2"/>
      <charset val="161"/>
      <scheme val="minor"/>
    </font>
    <font>
      <sz val="8"/>
      <name val="Calibri"/>
      <family val="2"/>
      <charset val="161"/>
      <scheme val="minor"/>
    </font>
    <font>
      <b/>
      <sz val="16"/>
      <color indexed="18"/>
      <name val="Calibri"/>
      <family val="2"/>
      <charset val="161"/>
      <scheme val="minor"/>
    </font>
    <font>
      <sz val="10"/>
      <color indexed="23"/>
      <name val="Calibri"/>
      <family val="2"/>
      <charset val="161"/>
      <scheme val="minor"/>
    </font>
    <font>
      <b/>
      <sz val="12"/>
      <color indexed="16"/>
      <name val="Calibri"/>
      <family val="2"/>
      <charset val="161"/>
      <scheme val="minor"/>
    </font>
    <font>
      <b/>
      <sz val="12"/>
      <color indexed="10"/>
      <name val="Calibri"/>
      <family val="2"/>
      <charset val="161"/>
      <scheme val="minor"/>
    </font>
    <font>
      <b/>
      <sz val="14"/>
      <color indexed="18"/>
      <name val="Calibri"/>
      <family val="2"/>
      <charset val="161"/>
      <scheme val="minor"/>
    </font>
    <font>
      <i/>
      <sz val="10"/>
      <color indexed="18"/>
      <name val="Calibri"/>
      <family val="2"/>
      <charset val="161"/>
      <scheme val="minor"/>
    </font>
    <font>
      <vertAlign val="superscript"/>
      <sz val="12"/>
      <color indexed="18"/>
      <name val="Calibri"/>
      <family val="2"/>
      <charset val="161"/>
      <scheme val="minor"/>
    </font>
    <font>
      <b/>
      <u/>
      <sz val="12"/>
      <color indexed="18"/>
      <name val="Calibri"/>
      <family val="2"/>
      <charset val="161"/>
      <scheme val="minor"/>
    </font>
    <font>
      <sz val="9"/>
      <color rgb="FF000080"/>
      <name val="Calibri"/>
      <family val="2"/>
      <charset val="161"/>
      <scheme val="minor"/>
    </font>
    <font>
      <b/>
      <sz val="10"/>
      <color rgb="FF000080"/>
      <name val="Calibri"/>
      <family val="2"/>
      <charset val="161"/>
      <scheme val="minor"/>
    </font>
    <font>
      <sz val="8"/>
      <color theme="0" tint="-0.34998626667073579"/>
      <name val="Calibri"/>
      <family val="2"/>
      <charset val="161"/>
      <scheme val="minor"/>
    </font>
    <font>
      <sz val="11"/>
      <color theme="1"/>
      <name val="Calibri"/>
      <family val="2"/>
      <charset val="161"/>
      <scheme val="minor"/>
    </font>
    <font>
      <sz val="12"/>
      <color indexed="23"/>
      <name val="Calibri"/>
      <family val="2"/>
      <charset val="161"/>
      <scheme val="minor"/>
    </font>
    <font>
      <sz val="14"/>
      <color indexed="18"/>
      <name val="Calibri"/>
      <family val="2"/>
      <charset val="161"/>
      <scheme val="minor"/>
    </font>
    <font>
      <b/>
      <i/>
      <sz val="12"/>
      <color indexed="18"/>
      <name val="Calibri"/>
      <family val="2"/>
      <charset val="161"/>
      <scheme val="minor"/>
    </font>
    <font>
      <sz val="9"/>
      <color theme="3"/>
      <name val="Calibri"/>
      <family val="2"/>
      <charset val="161"/>
      <scheme val="minor"/>
    </font>
    <font>
      <sz val="11"/>
      <color rgb="FF002060"/>
      <name val="Calibri"/>
      <family val="2"/>
      <charset val="161"/>
      <scheme val="minor"/>
    </font>
    <font>
      <sz val="10"/>
      <color rgb="FF000080"/>
      <name val="Calibri"/>
      <family val="2"/>
      <charset val="161"/>
      <scheme val="minor"/>
    </font>
    <font>
      <vertAlign val="superscript"/>
      <sz val="12"/>
      <color indexed="56"/>
      <name val="Calibri"/>
      <family val="2"/>
      <charset val="161"/>
      <scheme val="minor"/>
    </font>
    <font>
      <sz val="10"/>
      <color theme="5"/>
      <name val="Calibri"/>
      <family val="2"/>
      <charset val="161"/>
      <scheme val="minor"/>
    </font>
    <font>
      <b/>
      <sz val="12"/>
      <color rgb="FF0070C0"/>
      <name val="Calibri"/>
      <family val="2"/>
      <charset val="161"/>
      <scheme val="minor"/>
    </font>
    <font>
      <b/>
      <sz val="11"/>
      <color rgb="FF0070C0"/>
      <name val="Calibri"/>
      <family val="2"/>
      <charset val="161"/>
      <scheme val="minor"/>
    </font>
    <font>
      <sz val="11"/>
      <name val="Calibri"/>
      <family val="2"/>
      <charset val="161"/>
      <scheme val="minor"/>
    </font>
    <font>
      <u/>
      <sz val="11"/>
      <color indexed="18"/>
      <name val="Calibri"/>
      <family val="2"/>
      <charset val="161"/>
      <scheme val="minor"/>
    </font>
    <font>
      <b/>
      <sz val="11"/>
      <color rgb="FF000080"/>
      <name val="Calibri"/>
      <family val="2"/>
      <charset val="161"/>
      <scheme val="minor"/>
    </font>
    <font>
      <b/>
      <sz val="11"/>
      <name val="Calibri"/>
      <family val="2"/>
      <charset val="161"/>
      <scheme val="minor"/>
    </font>
    <font>
      <i/>
      <sz val="12"/>
      <name val="Calibri"/>
      <family val="2"/>
      <charset val="161"/>
      <scheme val="minor"/>
    </font>
    <font>
      <sz val="11"/>
      <color rgb="FF000080"/>
      <name val="Calibri"/>
      <family val="2"/>
      <charset val="161"/>
      <scheme val="minor"/>
    </font>
    <font>
      <sz val="10"/>
      <name val="Arial"/>
      <family val="2"/>
      <charset val="161"/>
    </font>
    <font>
      <b/>
      <sz val="12"/>
      <color rgb="FF000080"/>
      <name val="Calibri"/>
      <family val="2"/>
      <charset val="161"/>
    </font>
    <font>
      <b/>
      <vertAlign val="superscript"/>
      <sz val="12"/>
      <color rgb="FF000080"/>
      <name val="Calibri"/>
      <family val="2"/>
      <charset val="161"/>
      <scheme val="minor"/>
    </font>
    <font>
      <sz val="12"/>
      <color rgb="FF000080"/>
      <name val="Calibri"/>
      <family val="2"/>
      <charset val="161"/>
    </font>
    <font>
      <sz val="12"/>
      <color theme="0" tint="-0.499984740745262"/>
      <name val="Calibri"/>
      <family val="2"/>
      <charset val="161"/>
      <scheme val="minor"/>
    </font>
    <font>
      <b/>
      <sz val="14"/>
      <color rgb="FF000080"/>
      <name val="Calibri"/>
      <family val="2"/>
      <charset val="161"/>
      <scheme val="minor"/>
    </font>
    <font>
      <i/>
      <sz val="10"/>
      <color rgb="FFFF0000"/>
      <name val="Calibri"/>
      <family val="2"/>
      <charset val="161"/>
      <scheme val="minor"/>
    </font>
    <font>
      <vertAlign val="superscript"/>
      <sz val="12"/>
      <color theme="0" tint="-0.499984740745262"/>
      <name val="Calibri"/>
      <family val="2"/>
      <charset val="161"/>
      <scheme val="minor"/>
    </font>
    <font>
      <vertAlign val="superscript"/>
      <sz val="12"/>
      <color rgb="FF000080"/>
      <name val="Calibri"/>
      <family val="2"/>
      <charset val="161"/>
      <scheme val="minor"/>
    </font>
    <font>
      <sz val="10"/>
      <color theme="1"/>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sz val="11"/>
      <color theme="1"/>
      <name val="Calibri"/>
      <family val="2"/>
    </font>
    <font>
      <b/>
      <sz val="20"/>
      <color theme="0"/>
      <name val="Calibri"/>
      <family val="2"/>
      <charset val="161"/>
      <scheme val="minor"/>
    </font>
    <font>
      <sz val="10"/>
      <color theme="0"/>
      <name val="Arial"/>
      <family val="2"/>
      <charset val="161"/>
    </font>
    <font>
      <b/>
      <sz val="12"/>
      <color rgb="FF009AD8"/>
      <name val="Calibri"/>
      <family val="2"/>
      <charset val="161"/>
      <scheme val="minor"/>
    </font>
    <font>
      <b/>
      <sz val="12"/>
      <color theme="1"/>
      <name val="Calibri"/>
      <family val="2"/>
      <charset val="161"/>
      <scheme val="minor"/>
    </font>
    <font>
      <b/>
      <sz val="12"/>
      <color rgb="FF00B0F0"/>
      <name val="Calibri"/>
      <family val="2"/>
      <charset val="161"/>
      <scheme val="minor"/>
    </font>
    <font>
      <b/>
      <i/>
      <sz val="14"/>
      <color indexed="18"/>
      <name val="Calibri"/>
      <family val="2"/>
      <charset val="161"/>
      <scheme val="minor"/>
    </font>
    <font>
      <sz val="12"/>
      <color rgb="FF000000"/>
      <name val="Calibri"/>
      <family val="2"/>
      <charset val="161"/>
      <scheme val="minor"/>
    </font>
    <font>
      <b/>
      <sz val="12"/>
      <color theme="0"/>
      <name val="Calibri"/>
      <family val="2"/>
      <charset val="161"/>
      <scheme val="minor"/>
    </font>
    <font>
      <b/>
      <sz val="14"/>
      <color theme="0"/>
      <name val="Calibri"/>
      <family val="2"/>
      <charset val="161"/>
      <scheme val="minor"/>
    </font>
    <font>
      <sz val="10"/>
      <color rgb="FFFF0000"/>
      <name val="Arial"/>
      <family val="2"/>
      <charset val="161"/>
    </font>
    <font>
      <b/>
      <sz val="12"/>
      <color rgb="FFFF0000"/>
      <name val="Calibri"/>
      <family val="2"/>
      <charset val="161"/>
      <scheme val="minor"/>
    </font>
    <font>
      <sz val="12"/>
      <color rgb="FFFF0000"/>
      <name val="Calibri"/>
      <family val="2"/>
      <charset val="161"/>
      <scheme val="minor"/>
    </font>
    <font>
      <b/>
      <sz val="16"/>
      <name val="Calibri"/>
      <family val="2"/>
      <charset val="161"/>
      <scheme val="minor"/>
    </font>
    <font>
      <sz val="14"/>
      <name val="Calibri"/>
      <family val="2"/>
      <charset val="161"/>
      <scheme val="minor"/>
    </font>
    <font>
      <vertAlign val="superscript"/>
      <sz val="12"/>
      <name val="Calibri"/>
      <family val="2"/>
      <charset val="161"/>
      <scheme val="minor"/>
    </font>
    <font>
      <i/>
      <vertAlign val="superscript"/>
      <sz val="12"/>
      <color rgb="FF000080"/>
      <name val="Calibri"/>
      <family val="2"/>
      <charset val="161"/>
      <scheme val="minor"/>
    </font>
    <font>
      <b/>
      <vertAlign val="superscript"/>
      <sz val="14"/>
      <color rgb="FF000080"/>
      <name val="Calibri"/>
      <family val="2"/>
      <charset val="161"/>
      <scheme val="minor"/>
    </font>
    <font>
      <sz val="18"/>
      <color indexed="18"/>
      <name val="Calibri"/>
      <family val="2"/>
      <charset val="161"/>
      <scheme val="minor"/>
    </font>
    <font>
      <sz val="18"/>
      <name val="Calibri"/>
      <family val="2"/>
      <charset val="161"/>
      <scheme val="minor"/>
    </font>
    <font>
      <b/>
      <sz val="18"/>
      <color indexed="18"/>
      <name val="Calibri"/>
      <family val="2"/>
      <charset val="161"/>
      <scheme val="minor"/>
    </font>
    <font>
      <b/>
      <sz val="18"/>
      <name val="Calibri"/>
      <family val="2"/>
      <charset val="161"/>
      <scheme val="minor"/>
    </font>
    <font>
      <i/>
      <sz val="12"/>
      <color rgb="FF000080"/>
      <name val="Calibri"/>
      <family val="2"/>
      <charset val="161"/>
      <scheme val="minor"/>
    </font>
    <font>
      <b/>
      <vertAlign val="superscript"/>
      <sz val="12"/>
      <color rgb="FF00B0F0"/>
      <name val="Calibri"/>
      <family val="2"/>
      <charset val="161"/>
      <scheme val="minor"/>
    </font>
    <font>
      <u/>
      <sz val="12"/>
      <color indexed="18"/>
      <name val="Calibri"/>
      <family val="2"/>
      <charset val="161"/>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22"/>
        <bgColor indexed="64"/>
      </patternFill>
    </fill>
    <fill>
      <patternFill patternType="solid">
        <fgColor indexed="48"/>
        <bgColor indexed="64"/>
      </patternFill>
    </fill>
    <fill>
      <patternFill patternType="solid">
        <fgColor indexed="29"/>
        <bgColor indexed="64"/>
      </patternFill>
    </fill>
    <fill>
      <patternFill patternType="solid">
        <fgColor indexed="32"/>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lightGray">
        <bgColor indexed="44"/>
      </patternFill>
    </fill>
    <fill>
      <patternFill patternType="solid">
        <fgColor indexed="55"/>
        <bgColor indexed="64"/>
      </patternFill>
    </fill>
    <fill>
      <patternFill patternType="mediumGray">
        <fgColor indexed="9"/>
        <bgColor indexed="22"/>
      </patternFill>
    </fill>
    <fill>
      <patternFill patternType="solid">
        <fgColor indexed="51"/>
        <bgColor indexed="64"/>
      </patternFill>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rgb="FFFFFFCC"/>
        <bgColor rgb="FF000000"/>
      </patternFill>
    </fill>
    <fill>
      <patternFill patternType="solid">
        <fgColor theme="0"/>
        <bgColor rgb="FF000000"/>
      </patternFill>
    </fill>
    <fill>
      <patternFill patternType="mediumGray">
        <fgColor indexed="9"/>
        <bgColor theme="0"/>
      </patternFill>
    </fill>
    <fill>
      <patternFill patternType="solid">
        <fgColor theme="0" tint="-0.14999847407452621"/>
        <bgColor indexed="64"/>
      </patternFill>
    </fill>
    <fill>
      <patternFill patternType="solid">
        <fgColor theme="4" tint="0.59999389629810485"/>
        <bgColor indexed="64"/>
      </patternFill>
    </fill>
    <fill>
      <patternFill patternType="solid">
        <fgColor indexed="34"/>
      </patternFill>
    </fill>
    <fill>
      <patternFill patternType="solid">
        <fgColor indexed="35"/>
      </patternFill>
    </fill>
    <fill>
      <patternFill patternType="solid">
        <fgColor indexed="25"/>
      </patternFill>
    </fill>
    <fill>
      <patternFill patternType="solid">
        <fgColor indexed="54"/>
      </patternFill>
    </fill>
    <fill>
      <patternFill patternType="solid">
        <fgColor indexed="32"/>
      </patternFill>
    </fill>
    <fill>
      <patternFill patternType="solid">
        <fgColor indexed="24"/>
      </patternFill>
    </fill>
    <fill>
      <patternFill patternType="solid">
        <fgColor indexed="56"/>
      </patternFill>
    </fill>
    <fill>
      <patternFill patternType="solid">
        <fgColor theme="4"/>
        <bgColor indexed="64"/>
      </patternFill>
    </fill>
    <fill>
      <patternFill patternType="solid">
        <fgColor rgb="FF969696"/>
        <bgColor indexed="64"/>
      </patternFill>
    </fill>
    <fill>
      <patternFill patternType="solid">
        <fgColor rgb="FFFFDE75"/>
        <bgColor indexed="64"/>
      </patternFill>
    </fill>
    <fill>
      <patternFill patternType="solid">
        <fgColor rgb="FFC0C0C0"/>
        <bgColor indexed="64"/>
      </patternFill>
    </fill>
    <fill>
      <patternFill patternType="solid">
        <fgColor theme="3" tint="0.79998168889431442"/>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s>
  <borders count="1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top/>
      <bottom/>
      <diagonal/>
    </border>
    <border>
      <left/>
      <right style="dashed">
        <color indexed="18"/>
      </right>
      <top/>
      <bottom/>
      <diagonal/>
    </border>
    <border>
      <left/>
      <right/>
      <top style="hair">
        <color indexed="18"/>
      </top>
      <bottom style="hair">
        <color indexed="18"/>
      </bottom>
      <diagonal/>
    </border>
    <border>
      <left/>
      <right/>
      <top/>
      <bottom style="hair">
        <color indexed="18"/>
      </bottom>
      <diagonal/>
    </border>
    <border>
      <left/>
      <right/>
      <top style="hair">
        <color indexed="18"/>
      </top>
      <bottom style="thin">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hair">
        <color indexed="18"/>
      </bottom>
      <diagonal/>
    </border>
    <border>
      <left style="thin">
        <color indexed="18"/>
      </left>
      <right style="dashed">
        <color indexed="18"/>
      </right>
      <top style="thin">
        <color indexed="18"/>
      </top>
      <bottom/>
      <diagonal/>
    </border>
    <border>
      <left style="thin">
        <color indexed="18"/>
      </left>
      <right style="thin">
        <color indexed="18"/>
      </right>
      <top/>
      <bottom style="thin">
        <color indexed="64"/>
      </bottom>
      <diagonal/>
    </border>
    <border>
      <left style="thin">
        <color indexed="18"/>
      </left>
      <right style="dashed">
        <color indexed="18"/>
      </right>
      <top/>
      <bottom/>
      <diagonal/>
    </border>
    <border>
      <left style="thin">
        <color indexed="18"/>
      </left>
      <right style="thin">
        <color indexed="18"/>
      </right>
      <top style="hair">
        <color indexed="18"/>
      </top>
      <bottom style="hair">
        <color indexed="18"/>
      </bottom>
      <diagonal/>
    </border>
    <border>
      <left/>
      <right/>
      <top style="thin">
        <color indexed="18"/>
      </top>
      <bottom style="thin">
        <color indexed="18"/>
      </bottom>
      <diagonal/>
    </border>
    <border>
      <left style="thin">
        <color indexed="18"/>
      </left>
      <right style="thin">
        <color indexed="18"/>
      </right>
      <top/>
      <bottom style="thin">
        <color indexed="18"/>
      </bottom>
      <diagonal/>
    </border>
    <border>
      <left style="thin">
        <color indexed="18"/>
      </left>
      <right/>
      <top/>
      <bottom style="thin">
        <color indexed="18"/>
      </bottom>
      <diagonal/>
    </border>
    <border>
      <left style="thin">
        <color indexed="18"/>
      </left>
      <right/>
      <top style="thin">
        <color indexed="18"/>
      </top>
      <bottom/>
      <diagonal/>
    </border>
    <border>
      <left style="thin">
        <color indexed="18"/>
      </left>
      <right style="thin">
        <color indexed="18"/>
      </right>
      <top style="thin">
        <color indexed="18"/>
      </top>
      <bottom/>
      <diagonal/>
    </border>
    <border>
      <left/>
      <right/>
      <top style="thin">
        <color indexed="18"/>
      </top>
      <bottom/>
      <diagonal/>
    </border>
    <border>
      <left/>
      <right/>
      <top/>
      <bottom style="thin">
        <color indexed="18"/>
      </bottom>
      <diagonal/>
    </border>
    <border>
      <left/>
      <right/>
      <top/>
      <bottom style="thin">
        <color rgb="FF000080"/>
      </bottom>
      <diagonal/>
    </border>
    <border>
      <left/>
      <right/>
      <top style="thin">
        <color rgb="FF000080"/>
      </top>
      <bottom/>
      <diagonal/>
    </border>
    <border>
      <left style="thin">
        <color indexed="18"/>
      </left>
      <right/>
      <top style="hair">
        <color indexed="18"/>
      </top>
      <bottom style="hair">
        <color indexed="18"/>
      </bottom>
      <diagonal/>
    </border>
    <border>
      <left style="thin">
        <color indexed="18"/>
      </left>
      <right/>
      <top/>
      <bottom style="hair">
        <color indexed="18"/>
      </bottom>
      <diagonal/>
    </border>
    <border>
      <left style="thin">
        <color indexed="18"/>
      </left>
      <right/>
      <top style="hair">
        <color indexed="18"/>
      </top>
      <bottom style="thin">
        <color indexed="18"/>
      </bottom>
      <diagonal/>
    </border>
    <border>
      <left style="thin">
        <color rgb="FF000080"/>
      </left>
      <right/>
      <top style="thin">
        <color rgb="FF000080"/>
      </top>
      <bottom/>
      <diagonal/>
    </border>
    <border>
      <left style="thin">
        <color rgb="FF000080"/>
      </left>
      <right/>
      <top/>
      <bottom/>
      <diagonal/>
    </border>
    <border>
      <left style="thin">
        <color rgb="FF000080"/>
      </left>
      <right/>
      <top/>
      <bottom style="thin">
        <color rgb="FF000080"/>
      </bottom>
      <diagonal/>
    </border>
    <border>
      <left/>
      <right/>
      <top style="thin">
        <color auto="1"/>
      </top>
      <bottom/>
      <diagonal/>
    </border>
    <border>
      <left/>
      <right/>
      <top/>
      <bottom style="thin">
        <color indexed="64"/>
      </bottom>
      <diagonal/>
    </border>
    <border>
      <left/>
      <right style="thin">
        <color indexed="18"/>
      </right>
      <top style="thin">
        <color indexed="18"/>
      </top>
      <bottom/>
      <diagonal/>
    </border>
    <border>
      <left/>
      <right style="thin">
        <color indexed="18"/>
      </right>
      <top style="hair">
        <color indexed="18"/>
      </top>
      <bottom style="hair">
        <color indexed="18"/>
      </bottom>
      <diagonal/>
    </border>
    <border>
      <left/>
      <right style="thin">
        <color rgb="FF000080"/>
      </right>
      <top/>
      <bottom/>
      <diagonal/>
    </border>
    <border>
      <left/>
      <right style="thin">
        <color rgb="FF000080"/>
      </right>
      <top/>
      <bottom style="thin">
        <color rgb="FF000080"/>
      </bottom>
      <diagonal/>
    </border>
    <border>
      <left/>
      <right style="thin">
        <color indexed="18"/>
      </right>
      <top/>
      <bottom style="thin">
        <color indexed="18"/>
      </bottom>
      <diagonal/>
    </border>
    <border>
      <left/>
      <right style="thin">
        <color indexed="18"/>
      </right>
      <top/>
      <bottom style="hair">
        <color indexed="18"/>
      </bottom>
      <diagonal/>
    </border>
    <border>
      <left/>
      <right style="thin">
        <color indexed="18"/>
      </right>
      <top/>
      <bottom style="thin">
        <color indexed="64"/>
      </bottom>
      <diagonal/>
    </border>
    <border>
      <left/>
      <right style="dashed">
        <color indexed="18"/>
      </right>
      <top/>
      <bottom style="hair">
        <color indexed="18"/>
      </bottom>
      <diagonal/>
    </border>
    <border>
      <left/>
      <right style="dashed">
        <color indexed="18"/>
      </right>
      <top style="hair">
        <color indexed="18"/>
      </top>
      <bottom style="hair">
        <color indexed="18"/>
      </bottom>
      <diagonal/>
    </border>
    <border>
      <left style="thin">
        <color indexed="18"/>
      </left>
      <right/>
      <top style="hair">
        <color indexed="18"/>
      </top>
      <bottom/>
      <diagonal/>
    </border>
    <border>
      <left/>
      <right/>
      <top style="hair">
        <color indexed="1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18"/>
      </top>
      <bottom/>
      <diagonal/>
    </border>
    <border>
      <left style="thin">
        <color indexed="64"/>
      </left>
      <right/>
      <top/>
      <bottom/>
      <diagonal/>
    </border>
    <border>
      <left style="thin">
        <color indexed="64"/>
      </left>
      <right/>
      <top/>
      <bottom style="thin">
        <color indexed="64"/>
      </bottom>
      <diagonal/>
    </border>
    <border>
      <left style="thin">
        <color indexed="1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ashed">
        <color indexed="18"/>
      </right>
      <top style="thin">
        <color indexed="64"/>
      </top>
      <bottom/>
      <diagonal/>
    </border>
    <border>
      <left style="thin">
        <color indexed="64"/>
      </left>
      <right/>
      <top style="hair">
        <color indexed="18"/>
      </top>
      <bottom style="hair">
        <color indexed="18"/>
      </bottom>
      <diagonal/>
    </border>
    <border>
      <left style="thin">
        <color auto="1"/>
      </left>
      <right/>
      <top style="hair">
        <color rgb="FF002060"/>
      </top>
      <bottom style="hair">
        <color rgb="FF002060"/>
      </bottom>
      <diagonal/>
    </border>
    <border>
      <left/>
      <right/>
      <top style="hair">
        <color rgb="FF002060"/>
      </top>
      <bottom style="hair">
        <color rgb="FF002060"/>
      </bottom>
      <diagonal/>
    </border>
    <border>
      <left style="thin">
        <color indexed="64"/>
      </left>
      <right style="thin">
        <color indexed="64"/>
      </right>
      <top/>
      <bottom style="thin">
        <color indexed="64"/>
      </bottom>
      <diagonal/>
    </border>
    <border>
      <left/>
      <right/>
      <top/>
      <bottom style="thick">
        <color indexed="49"/>
      </bottom>
      <diagonal/>
    </border>
    <border>
      <left/>
      <right/>
      <top/>
      <bottom style="thick">
        <color indexed="35"/>
      </bottom>
      <diagonal/>
    </border>
    <border>
      <left/>
      <right/>
      <top/>
      <bottom style="medium">
        <color indexed="35"/>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style="thin">
        <color indexed="49"/>
      </top>
      <bottom style="double">
        <color indexed="49"/>
      </bottom>
      <diagonal/>
    </border>
    <border>
      <left style="thin">
        <color indexed="18"/>
      </left>
      <right/>
      <top style="thin">
        <color indexed="18"/>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ashed">
        <color rgb="FF002060"/>
      </left>
      <right/>
      <top style="thin">
        <color auto="1"/>
      </top>
      <bottom/>
      <diagonal/>
    </border>
    <border>
      <left style="dashed">
        <color rgb="FF002060"/>
      </left>
      <right/>
      <top/>
      <bottom/>
      <diagonal/>
    </border>
    <border>
      <left style="dashed">
        <color rgb="FF002060"/>
      </left>
      <right/>
      <top/>
      <bottom style="thin">
        <color indexed="64"/>
      </bottom>
      <diagonal/>
    </border>
    <border>
      <left/>
      <right/>
      <top/>
      <bottom style="thin">
        <color auto="1"/>
      </bottom>
      <diagonal/>
    </border>
    <border>
      <left/>
      <right/>
      <top style="thin">
        <color indexed="18"/>
      </top>
      <bottom/>
      <diagonal/>
    </border>
    <border>
      <left/>
      <right/>
      <top/>
      <bottom style="thin">
        <color indexed="18"/>
      </bottom>
      <diagonal/>
    </border>
    <border>
      <left/>
      <right style="dashed">
        <color indexed="18"/>
      </right>
      <top style="thin">
        <color indexed="18"/>
      </top>
      <bottom/>
      <diagonal/>
    </border>
    <border>
      <left/>
      <right/>
      <top/>
      <bottom style="thin">
        <color indexed="64"/>
      </bottom>
      <diagonal/>
    </border>
    <border>
      <left/>
      <right style="thin">
        <color indexed="18"/>
      </right>
      <top style="thin">
        <color indexed="18"/>
      </top>
      <bottom/>
      <diagonal/>
    </border>
    <border>
      <left/>
      <right style="dashed">
        <color indexed="18"/>
      </right>
      <top style="hair">
        <color indexed="18"/>
      </top>
      <bottom/>
      <diagonal/>
    </border>
    <border>
      <left/>
      <right style="thin">
        <color indexed="64"/>
      </right>
      <top style="hair">
        <color indexed="18"/>
      </top>
      <bottom style="hair">
        <color indexed="18"/>
      </bottom>
      <diagonal/>
    </border>
    <border>
      <left/>
      <right/>
      <top style="thin">
        <color indexed="18"/>
      </top>
      <bottom style="hair">
        <color indexed="18"/>
      </bottom>
      <diagonal/>
    </border>
    <border>
      <left/>
      <right style="thin">
        <color indexed="18"/>
      </right>
      <top style="hair">
        <color indexed="18"/>
      </top>
      <bottom style="thin">
        <color indexed="18"/>
      </bottom>
      <diagonal/>
    </border>
    <border>
      <left/>
      <right style="thin">
        <color indexed="18"/>
      </right>
      <top/>
      <bottom style="thin">
        <color indexed="18"/>
      </bottom>
      <diagonal/>
    </border>
    <border>
      <left/>
      <right style="dashed">
        <color indexed="18"/>
      </right>
      <top style="hair">
        <color indexed="18"/>
      </top>
      <bottom style="thin">
        <color indexed="18"/>
      </bottom>
      <diagonal/>
    </border>
    <border>
      <left/>
      <right style="dashed">
        <color indexed="18"/>
      </right>
      <top style="thin">
        <color indexed="18"/>
      </top>
      <bottom style="hair">
        <color indexed="18"/>
      </bottom>
      <diagonal/>
    </border>
    <border>
      <left style="thin">
        <color indexed="64"/>
      </left>
      <right/>
      <top/>
      <bottom style="hair">
        <color indexed="64"/>
      </bottom>
      <diagonal/>
    </border>
    <border>
      <left style="dotted">
        <color indexed="64"/>
      </left>
      <right style="thin">
        <color indexed="64"/>
      </right>
      <top/>
      <bottom style="hair">
        <color indexed="64"/>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top style="medium">
        <color theme="4" tint="0.39994506668294322"/>
      </top>
      <bottom style="medium">
        <color theme="4" tint="0.39994506668294322"/>
      </bottom>
      <diagonal/>
    </border>
    <border>
      <left/>
      <right/>
      <top style="medium">
        <color theme="4" tint="0.39994506668294322"/>
      </top>
      <bottom style="medium">
        <color theme="4" tint="0.39994506668294322"/>
      </bottom>
      <diagonal/>
    </border>
    <border>
      <left style="thin">
        <color indexed="18"/>
      </left>
      <right/>
      <top style="medium">
        <color theme="4" tint="0.39994506668294322"/>
      </top>
      <bottom/>
      <diagonal/>
    </border>
    <border>
      <left/>
      <right/>
      <top style="medium">
        <color theme="4" tint="0.39994506668294322"/>
      </top>
      <bottom/>
      <diagonal/>
    </border>
    <border>
      <left style="dashed">
        <color indexed="18"/>
      </left>
      <right/>
      <top/>
      <bottom/>
      <diagonal/>
    </border>
    <border>
      <left/>
      <right/>
      <top/>
      <bottom style="hair">
        <color auto="1"/>
      </bottom>
      <diagonal/>
    </border>
    <border>
      <left style="thin">
        <color indexed="18"/>
      </left>
      <right/>
      <top style="thin">
        <color indexed="18"/>
      </top>
      <bottom style="hair">
        <color indexed="18"/>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rgb="FF000080"/>
      </left>
      <right/>
      <top style="thin">
        <color indexed="18"/>
      </top>
      <bottom/>
      <diagonal/>
    </border>
    <border>
      <left style="thin">
        <color rgb="FF000080"/>
      </left>
      <right/>
      <top/>
      <bottom style="thin">
        <color theme="0" tint="-0.14996795556505021"/>
      </bottom>
      <diagonal/>
    </border>
    <border>
      <left/>
      <right style="thin">
        <color rgb="FF000080"/>
      </right>
      <top/>
      <bottom style="thin">
        <color theme="0" tint="-0.14996795556505021"/>
      </bottom>
      <diagonal/>
    </border>
    <border>
      <left style="thin">
        <color rgb="FF000080"/>
      </left>
      <right/>
      <top style="thin">
        <color theme="0" tint="-0.14996795556505021"/>
      </top>
      <bottom style="thin">
        <color theme="0" tint="-0.14996795556505021"/>
      </bottom>
      <diagonal/>
    </border>
    <border>
      <left/>
      <right style="thin">
        <color rgb="FF000080"/>
      </right>
      <top style="thin">
        <color theme="0" tint="-0.14996795556505021"/>
      </top>
      <bottom style="thin">
        <color theme="0" tint="-0.14996795556505021"/>
      </bottom>
      <diagonal/>
    </border>
    <border>
      <left style="thin">
        <color rgb="FF000080"/>
      </left>
      <right/>
      <top style="thin">
        <color theme="0" tint="-0.14996795556505021"/>
      </top>
      <bottom style="thin">
        <color rgb="FF000080"/>
      </bottom>
      <diagonal/>
    </border>
    <border>
      <left style="thin">
        <color rgb="FF000080"/>
      </left>
      <right/>
      <top style="thin">
        <color theme="0" tint="-0.14996795556505021"/>
      </top>
      <bottom/>
      <diagonal/>
    </border>
    <border>
      <left/>
      <right/>
      <top style="thin">
        <color theme="0" tint="-0.14996795556505021"/>
      </top>
      <bottom/>
      <diagonal/>
    </border>
    <border>
      <left/>
      <right style="thin">
        <color rgb="FF000080"/>
      </right>
      <top style="thin">
        <color theme="0" tint="-0.14996795556505021"/>
      </top>
      <bottom/>
      <diagonal/>
    </border>
    <border>
      <left style="thin">
        <color rgb="FF000080"/>
      </left>
      <right/>
      <top style="dashed">
        <color rgb="FF000080"/>
      </top>
      <bottom style="thin">
        <color theme="0" tint="-0.14996795556505021"/>
      </bottom>
      <diagonal/>
    </border>
    <border>
      <left/>
      <right/>
      <top style="dashed">
        <color rgb="FF000080"/>
      </top>
      <bottom/>
      <diagonal/>
    </border>
    <border>
      <left/>
      <right style="thin">
        <color rgb="FF000080"/>
      </right>
      <top style="dashed">
        <color rgb="FF000080"/>
      </top>
      <bottom/>
      <diagonal/>
    </border>
    <border>
      <left style="thin">
        <color rgb="FF000080"/>
      </left>
      <right/>
      <top style="thin">
        <color theme="0" tint="-0.14996795556505021"/>
      </top>
      <bottom style="dashed">
        <color rgb="FF000080"/>
      </bottom>
      <diagonal/>
    </border>
    <border>
      <left/>
      <right/>
      <top/>
      <bottom style="dashed">
        <color rgb="FF000080"/>
      </bottom>
      <diagonal/>
    </border>
    <border>
      <left/>
      <right style="thin">
        <color rgb="FF000080"/>
      </right>
      <top/>
      <bottom style="dashed">
        <color rgb="FF000080"/>
      </bottom>
      <diagonal/>
    </border>
    <border>
      <left/>
      <right/>
      <top style="hair">
        <color indexed="64"/>
      </top>
      <bottom style="hair">
        <color indexed="64"/>
      </bottom>
      <diagonal/>
    </border>
    <border>
      <left/>
      <right style="dashed">
        <color indexed="18"/>
      </right>
      <top style="thin">
        <color indexed="18"/>
      </top>
      <bottom style="thin">
        <color indexed="18"/>
      </bottom>
      <diagonal/>
    </border>
    <border>
      <left/>
      <right style="dashed">
        <color indexed="18"/>
      </right>
      <top style="medium">
        <color theme="4" tint="0.39994506668294322"/>
      </top>
      <bottom style="medium">
        <color theme="4" tint="0.39994506668294322"/>
      </bottom>
      <diagonal/>
    </border>
    <border>
      <left/>
      <right style="dashed">
        <color indexed="18"/>
      </right>
      <top/>
      <bottom style="thin">
        <color auto="1"/>
      </bottom>
      <diagonal/>
    </border>
    <border>
      <left/>
      <right style="thin">
        <color indexed="18"/>
      </right>
      <top style="medium">
        <color theme="4" tint="0.39994506668294322"/>
      </top>
      <bottom/>
      <diagonal/>
    </border>
    <border>
      <left/>
      <right style="dashed">
        <color indexed="18"/>
      </right>
      <top style="medium">
        <color theme="4" tint="0.39994506668294322"/>
      </top>
      <bottom/>
      <diagonal/>
    </border>
    <border>
      <left/>
      <right style="dashed">
        <color rgb="FF000080"/>
      </right>
      <top/>
      <bottom/>
      <diagonal/>
    </border>
    <border>
      <left/>
      <right style="dashed">
        <color rgb="FF002060"/>
      </right>
      <top style="thin">
        <color auto="1"/>
      </top>
      <bottom/>
      <diagonal/>
    </border>
    <border>
      <left/>
      <right style="dashed">
        <color rgb="FF002060"/>
      </right>
      <top/>
      <bottom/>
      <diagonal/>
    </border>
    <border>
      <left/>
      <right style="thin">
        <color rgb="FF000080"/>
      </right>
      <top style="thin">
        <color rgb="FF000080"/>
      </top>
      <bottom/>
      <diagonal/>
    </border>
    <border>
      <left/>
      <right style="dashed">
        <color rgb="FF000080"/>
      </right>
      <top style="thin">
        <color rgb="FF000080"/>
      </top>
      <bottom/>
      <diagonal/>
    </border>
    <border>
      <left/>
      <right style="dashed">
        <color rgb="FF000080"/>
      </right>
      <top/>
      <bottom style="thin">
        <color rgb="FF000080"/>
      </bottom>
      <diagonal/>
    </border>
    <border>
      <left/>
      <right style="dashed">
        <color indexed="18"/>
      </right>
      <top/>
      <bottom style="thin">
        <color rgb="FF000080"/>
      </bottom>
      <diagonal/>
    </border>
    <border>
      <left style="thin">
        <color indexed="18"/>
      </left>
      <right/>
      <top style="thin">
        <color indexed="18"/>
      </top>
      <bottom/>
      <diagonal/>
    </border>
    <border>
      <left style="thin">
        <color indexed="18"/>
      </left>
      <right/>
      <top style="medium">
        <color theme="4" tint="0.39994506668294322"/>
      </top>
      <bottom style="thin">
        <color indexed="18"/>
      </bottom>
      <diagonal/>
    </border>
    <border>
      <left/>
      <right/>
      <top style="medium">
        <color theme="4" tint="0.39994506668294322"/>
      </top>
      <bottom style="thin">
        <color indexed="18"/>
      </bottom>
      <diagonal/>
    </border>
    <border>
      <left/>
      <right style="dashed">
        <color indexed="18"/>
      </right>
      <top style="medium">
        <color theme="4" tint="0.39994506668294322"/>
      </top>
      <bottom style="thin">
        <color indexed="18"/>
      </bottom>
      <diagonal/>
    </border>
    <border>
      <left/>
      <right style="thin">
        <color indexed="64"/>
      </right>
      <top style="hair">
        <color indexed="18"/>
      </top>
      <bottom style="thin">
        <color indexed="18"/>
      </bottom>
      <diagonal/>
    </border>
    <border>
      <left/>
      <right style="thin">
        <color indexed="18"/>
      </right>
      <top style="thin">
        <color indexed="18"/>
      </top>
      <bottom style="hair">
        <color indexed="18"/>
      </bottom>
      <diagonal/>
    </border>
    <border>
      <left/>
      <right style="thin">
        <color indexed="18"/>
      </right>
      <top style="hair">
        <color indexed="18"/>
      </top>
      <bottom/>
      <diagonal/>
    </border>
    <border>
      <left/>
      <right/>
      <top/>
      <bottom style="thin">
        <color indexed="18"/>
      </bottom>
      <diagonal/>
    </border>
    <border>
      <left/>
      <right/>
      <top/>
      <bottom style="thin">
        <color indexed="64"/>
      </bottom>
      <diagonal/>
    </border>
    <border>
      <left/>
      <right style="thin">
        <color indexed="18"/>
      </right>
      <top/>
      <bottom style="thin">
        <color indexed="18"/>
      </bottom>
      <diagonal/>
    </border>
    <border>
      <left/>
      <right style="dashed">
        <color indexed="18"/>
      </right>
      <top/>
      <bottom style="thin">
        <color indexed="18"/>
      </bottom>
      <diagonal/>
    </border>
    <border>
      <left/>
      <right style="dashed">
        <color indexed="18"/>
      </right>
      <top/>
      <bottom style="thin">
        <color indexed="64"/>
      </bottom>
      <diagonal/>
    </border>
    <border>
      <left/>
      <right style="dashed">
        <color rgb="FF002060"/>
      </right>
      <top/>
      <bottom style="thin">
        <color indexed="64"/>
      </bottom>
      <diagonal/>
    </border>
    <border>
      <left/>
      <right style="thin">
        <color indexed="18"/>
      </right>
      <top/>
      <bottom style="thin">
        <color indexed="64"/>
      </bottom>
      <diagonal/>
    </border>
    <border>
      <left/>
      <right style="thin">
        <color theme="0" tint="-0.14993743705557422"/>
      </right>
      <top style="thin">
        <color theme="0" tint="-0.14996795556505021"/>
      </top>
      <bottom style="thin">
        <color theme="0" tint="-0.14996795556505021"/>
      </bottom>
      <diagonal/>
    </border>
    <border>
      <left/>
      <right style="thin">
        <color theme="0" tint="-0.14993743705557422"/>
      </right>
      <top/>
      <bottom/>
      <diagonal/>
    </border>
    <border>
      <left style="thin">
        <color indexed="18"/>
      </left>
      <right/>
      <top style="medium">
        <color theme="3" tint="0.59996337778862885"/>
      </top>
      <bottom style="medium">
        <color theme="4" tint="0.39994506668294322"/>
      </bottom>
      <diagonal/>
    </border>
    <border>
      <left/>
      <right/>
      <top style="medium">
        <color theme="3" tint="0.59996337778862885"/>
      </top>
      <bottom style="medium">
        <color theme="4" tint="0.39994506668294322"/>
      </bottom>
      <diagonal/>
    </border>
    <border>
      <left/>
      <right style="dashed">
        <color indexed="18"/>
      </right>
      <top style="medium">
        <color theme="3" tint="0.59996337778862885"/>
      </top>
      <bottom style="medium">
        <color theme="4" tint="0.39994506668294322"/>
      </bottom>
      <diagonal/>
    </border>
    <border>
      <left/>
      <right/>
      <top style="thin">
        <color theme="0" tint="-0.14996795556505021"/>
      </top>
      <bottom style="thin">
        <color theme="0" tint="-0.14993743705557422"/>
      </bottom>
      <diagonal/>
    </border>
    <border>
      <left/>
      <right style="thin">
        <color auto="1"/>
      </right>
      <top/>
      <bottom/>
      <diagonal/>
    </border>
    <border>
      <left/>
      <right/>
      <top style="hair">
        <color auto="1"/>
      </top>
      <bottom style="hair">
        <color auto="1"/>
      </bottom>
      <diagonal/>
    </border>
    <border>
      <left/>
      <right style="thin">
        <color theme="1"/>
      </right>
      <top style="thin">
        <color theme="0" tint="-0.14996795556505021"/>
      </top>
      <bottom/>
      <diagonal/>
    </border>
    <border>
      <left style="dashed">
        <color indexed="18"/>
      </left>
      <right style="dashed">
        <color indexed="18"/>
      </right>
      <top style="thin">
        <color indexed="18"/>
      </top>
      <bottom/>
      <diagonal/>
    </border>
    <border>
      <left style="dashed">
        <color indexed="18"/>
      </left>
      <right style="dashed">
        <color indexed="18"/>
      </right>
      <top/>
      <bottom/>
      <diagonal/>
    </border>
    <border>
      <left style="dashed">
        <color indexed="18"/>
      </left>
      <right style="dashed">
        <color indexed="18"/>
      </right>
      <top/>
      <bottom style="thin">
        <color indexed="18"/>
      </bottom>
      <diagonal/>
    </border>
    <border>
      <left style="dashed">
        <color indexed="18"/>
      </left>
      <right style="thin">
        <color indexed="18"/>
      </right>
      <top style="thin">
        <color indexed="18"/>
      </top>
      <bottom/>
      <diagonal/>
    </border>
    <border>
      <left style="dashed">
        <color indexed="18"/>
      </left>
      <right style="thin">
        <color indexed="18"/>
      </right>
      <top/>
      <bottom/>
      <diagonal/>
    </border>
    <border>
      <left style="dashed">
        <color indexed="18"/>
      </left>
      <right style="thin">
        <color indexed="18"/>
      </right>
      <top style="thin">
        <color indexed="18"/>
      </top>
      <bottom style="thin">
        <color indexed="18"/>
      </bottom>
      <diagonal/>
    </border>
    <border>
      <left style="dashed">
        <color indexed="18"/>
      </left>
      <right style="thin">
        <color indexed="18"/>
      </right>
      <top style="medium">
        <color theme="4" tint="0.39994506668294322"/>
      </top>
      <bottom style="medium">
        <color theme="4" tint="0.39994506668294322"/>
      </bottom>
      <diagonal/>
    </border>
    <border>
      <left style="dashed">
        <color indexed="18"/>
      </left>
      <right style="thin">
        <color indexed="18"/>
      </right>
      <top style="medium">
        <color theme="3" tint="0.59996337778862885"/>
      </top>
      <bottom style="medium">
        <color theme="4" tint="0.39994506668294322"/>
      </bottom>
      <diagonal/>
    </border>
    <border>
      <left style="dashed">
        <color indexed="18"/>
      </left>
      <right style="thin">
        <color indexed="18"/>
      </right>
      <top/>
      <bottom style="thin">
        <color indexed="18"/>
      </bottom>
      <diagonal/>
    </border>
    <border>
      <left style="dashed">
        <color indexed="18"/>
      </left>
      <right style="thin">
        <color indexed="18"/>
      </right>
      <top style="medium">
        <color theme="4" tint="0.39994506668294322"/>
      </top>
      <bottom style="thin">
        <color indexed="18"/>
      </bottom>
      <diagonal/>
    </border>
    <border>
      <left style="dashed">
        <color indexed="18"/>
      </left>
      <right style="dashed">
        <color indexed="18"/>
      </right>
      <top/>
      <bottom style="thin">
        <color auto="1"/>
      </bottom>
      <diagonal/>
    </border>
    <border>
      <left style="dashed">
        <color indexed="18"/>
      </left>
      <right style="thin">
        <color indexed="18"/>
      </right>
      <top/>
      <bottom style="thin">
        <color auto="1"/>
      </bottom>
      <diagonal/>
    </border>
    <border>
      <left style="dashed">
        <color indexed="18"/>
      </left>
      <right style="thin">
        <color indexed="18"/>
      </right>
      <top style="hair">
        <color indexed="18"/>
      </top>
      <bottom style="hair">
        <color indexed="18"/>
      </bottom>
      <diagonal/>
    </border>
    <border>
      <left style="dashed">
        <color indexed="18"/>
      </left>
      <right style="thin">
        <color indexed="18"/>
      </right>
      <top/>
      <bottom style="hair">
        <color indexed="18"/>
      </bottom>
      <diagonal/>
    </border>
    <border>
      <left/>
      <right style="thin">
        <color auto="1"/>
      </right>
      <top style="hair">
        <color auto="1"/>
      </top>
      <bottom style="hair">
        <color auto="1"/>
      </bottom>
      <diagonal/>
    </border>
    <border>
      <left/>
      <right style="dashed">
        <color indexed="18"/>
      </right>
      <top style="hair">
        <color auto="1"/>
      </top>
      <bottom style="hair">
        <color auto="1"/>
      </bottom>
      <diagonal/>
    </border>
    <border>
      <left style="dashed">
        <color indexed="18"/>
      </left>
      <right style="dashed">
        <color indexed="18"/>
      </right>
      <top style="medium">
        <color theme="4" tint="0.39994506668294322"/>
      </top>
      <bottom/>
      <diagonal/>
    </border>
    <border>
      <left style="hair">
        <color indexed="18"/>
      </left>
      <right style="thin">
        <color indexed="18"/>
      </right>
      <top style="hair">
        <color indexed="18"/>
      </top>
      <bottom/>
      <diagonal/>
    </border>
  </borders>
  <cellStyleXfs count="354">
    <xf numFmtId="0" fontId="0" fillId="0" borderId="0"/>
    <xf numFmtId="0" fontId="25" fillId="0" borderId="0">
      <alignment vertical="top"/>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43" fontId="33" fillId="0" borderId="0" applyFont="0" applyFill="0" applyBorder="0" applyAlignment="0" applyProtection="0"/>
    <xf numFmtId="3" fontId="23" fillId="0" borderId="0" applyFont="0" applyFill="0" applyBorder="0" applyAlignment="0" applyProtection="0"/>
    <xf numFmtId="0" fontId="34" fillId="0" borderId="0">
      <protection locked="0"/>
    </xf>
    <xf numFmtId="166" fontId="35" fillId="0" borderId="0" applyFont="0" applyFill="0" applyBorder="0" applyAlignment="0" applyProtection="0"/>
    <xf numFmtId="189" fontId="23" fillId="0" borderId="0" applyFont="0" applyFill="0" applyBorder="0" applyAlignment="0" applyProtection="0"/>
    <xf numFmtId="172" fontId="22"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190" fontId="34" fillId="0" borderId="0">
      <protection locked="0"/>
    </xf>
    <xf numFmtId="0" fontId="32" fillId="0" borderId="0" applyNumberFormat="0" applyFill="0" applyBorder="0" applyAlignment="0" applyProtection="0">
      <alignment vertical="top"/>
      <protection locked="0"/>
    </xf>
    <xf numFmtId="0" fontId="42" fillId="22" borderId="3" applyNumberFormat="0" applyBorder="0" applyProtection="0">
      <alignment vertical="center"/>
    </xf>
    <xf numFmtId="0" fontId="23" fillId="0" borderId="0"/>
    <xf numFmtId="0" fontId="36" fillId="0" borderId="0">
      <protection locked="0"/>
    </xf>
    <xf numFmtId="0" fontId="36" fillId="0" borderId="0">
      <protection locked="0"/>
    </xf>
    <xf numFmtId="0" fontId="32" fillId="0" borderId="0" applyNumberFormat="0" applyFill="0" applyBorder="0" applyAlignment="0" applyProtection="0">
      <alignment vertical="top"/>
      <protection locked="0"/>
    </xf>
    <xf numFmtId="166" fontId="23" fillId="0" borderId="0" applyFont="0" applyFill="0" applyBorder="0" applyAlignment="0" applyProtection="0"/>
    <xf numFmtId="167" fontId="23"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8" fillId="0" borderId="0"/>
    <xf numFmtId="0" fontId="4" fillId="0" borderId="0"/>
    <xf numFmtId="0" fontId="33" fillId="0" borderId="0"/>
    <xf numFmtId="0" fontId="33" fillId="0" borderId="0"/>
    <xf numFmtId="0" fontId="38" fillId="0" borderId="0"/>
    <xf numFmtId="0" fontId="33" fillId="0" borderId="0"/>
    <xf numFmtId="0" fontId="33" fillId="0" borderId="0"/>
    <xf numFmtId="0" fontId="39" fillId="0" borderId="0"/>
    <xf numFmtId="0" fontId="39" fillId="0" borderId="0"/>
    <xf numFmtId="0" fontId="39" fillId="0" borderId="0"/>
    <xf numFmtId="0" fontId="39" fillId="0" borderId="0"/>
    <xf numFmtId="0" fontId="39" fillId="0" borderId="0"/>
    <xf numFmtId="0" fontId="33" fillId="0" borderId="0"/>
    <xf numFmtId="0" fontId="33" fillId="0" borderId="0"/>
    <xf numFmtId="0" fontId="33" fillId="0" borderId="0"/>
    <xf numFmtId="0" fontId="33" fillId="0" borderId="0"/>
    <xf numFmtId="0" fontId="22" fillId="0" borderId="0"/>
    <xf numFmtId="0" fontId="23" fillId="0" borderId="0"/>
    <xf numFmtId="0" fontId="26" fillId="25" borderId="0"/>
    <xf numFmtId="0" fontId="27" fillId="26" borderId="0"/>
    <xf numFmtId="0" fontId="28" fillId="27" borderId="0">
      <alignment horizontal="left"/>
    </xf>
    <xf numFmtId="0" fontId="29" fillId="28" borderId="9">
      <alignment horizontal="left"/>
    </xf>
    <xf numFmtId="0" fontId="28" fillId="29" borderId="0"/>
    <xf numFmtId="175" fontId="23" fillId="30" borderId="9">
      <alignment horizontal="left"/>
      <protection locked="0"/>
    </xf>
    <xf numFmtId="3" fontId="23" fillId="30" borderId="9">
      <alignment horizontal="right"/>
      <protection locked="0"/>
    </xf>
    <xf numFmtId="4" fontId="23" fillId="30" borderId="9">
      <alignment horizontal="right"/>
      <protection locked="0"/>
    </xf>
    <xf numFmtId="176" fontId="23" fillId="30" borderId="9">
      <alignment horizontal="right"/>
      <protection locked="0"/>
    </xf>
    <xf numFmtId="177" fontId="23" fillId="30" borderId="9">
      <alignment horizontal="right"/>
      <protection locked="0"/>
    </xf>
    <xf numFmtId="178" fontId="23" fillId="30" borderId="9">
      <alignment horizontal="right"/>
      <protection locked="0"/>
    </xf>
    <xf numFmtId="179" fontId="23" fillId="30" borderId="9">
      <alignment horizontal="right"/>
      <protection locked="0"/>
    </xf>
    <xf numFmtId="180" fontId="23" fillId="30" borderId="9">
      <alignment horizontal="right"/>
      <protection locked="0"/>
    </xf>
    <xf numFmtId="171" fontId="23" fillId="30" borderId="9">
      <alignment horizontal="right"/>
      <protection locked="0"/>
    </xf>
    <xf numFmtId="2" fontId="23" fillId="30" borderId="9">
      <alignment horizontal="right"/>
      <protection locked="0"/>
    </xf>
    <xf numFmtId="181" fontId="23" fillId="30" borderId="9">
      <alignment horizontal="right"/>
      <protection locked="0"/>
    </xf>
    <xf numFmtId="182" fontId="23" fillId="30" borderId="9">
      <alignment horizontal="right"/>
      <protection locked="0"/>
    </xf>
    <xf numFmtId="170" fontId="23" fillId="30" borderId="9">
      <alignment horizontal="right"/>
      <protection locked="0"/>
    </xf>
    <xf numFmtId="1" fontId="23" fillId="30" borderId="9">
      <alignment horizontal="right"/>
      <protection locked="0"/>
    </xf>
    <xf numFmtId="183" fontId="23" fillId="30" borderId="9">
      <alignment horizontal="right"/>
      <protection locked="0"/>
    </xf>
    <xf numFmtId="177" fontId="23" fillId="30" borderId="9">
      <alignment horizontal="right"/>
      <protection locked="0"/>
    </xf>
    <xf numFmtId="178" fontId="23" fillId="30" borderId="9">
      <alignment horizontal="right"/>
      <protection locked="0"/>
    </xf>
    <xf numFmtId="184" fontId="23" fillId="30" borderId="9">
      <alignment horizontal="right"/>
      <protection locked="0"/>
    </xf>
    <xf numFmtId="185" fontId="23" fillId="30" borderId="9">
      <alignment horizontal="right"/>
      <protection locked="0"/>
    </xf>
    <xf numFmtId="186" fontId="23" fillId="30" borderId="9">
      <alignment horizontal="right"/>
      <protection locked="0"/>
    </xf>
    <xf numFmtId="187" fontId="23" fillId="30" borderId="9">
      <alignment horizontal="right"/>
      <protection locked="0"/>
    </xf>
    <xf numFmtId="188" fontId="23" fillId="30" borderId="9">
      <alignment horizontal="right"/>
      <protection locked="0"/>
    </xf>
    <xf numFmtId="49" fontId="23" fillId="30" borderId="9">
      <alignment horizontal="left"/>
      <protection locked="0"/>
    </xf>
    <xf numFmtId="49" fontId="30" fillId="30" borderId="9">
      <alignment horizontal="left" wrapText="1"/>
      <protection locked="0"/>
    </xf>
    <xf numFmtId="18" fontId="23" fillId="30" borderId="9">
      <alignment horizontal="left"/>
      <protection locked="0"/>
    </xf>
    <xf numFmtId="0" fontId="31" fillId="31" borderId="9">
      <alignment horizontal="center"/>
    </xf>
    <xf numFmtId="0" fontId="31" fillId="31" borderId="9">
      <alignment horizontal="center" wrapText="1"/>
    </xf>
    <xf numFmtId="175" fontId="31" fillId="31" borderId="9">
      <alignment horizontal="left"/>
    </xf>
    <xf numFmtId="0" fontId="31" fillId="31" borderId="9">
      <alignment horizontal="left"/>
    </xf>
    <xf numFmtId="0" fontId="31" fillId="31" borderId="9">
      <alignment horizontal="left" wrapText="1"/>
    </xf>
    <xf numFmtId="0" fontId="31" fillId="31" borderId="9">
      <alignment horizontal="right"/>
    </xf>
    <xf numFmtId="0" fontId="31" fillId="31" borderId="9">
      <alignment horizontal="right" wrapText="1"/>
    </xf>
    <xf numFmtId="175" fontId="23" fillId="32" borderId="9">
      <alignment horizontal="left"/>
    </xf>
    <xf numFmtId="3" fontId="23" fillId="32" borderId="9">
      <alignment horizontal="right"/>
    </xf>
    <xf numFmtId="4" fontId="23" fillId="32" borderId="9">
      <alignment horizontal="right"/>
    </xf>
    <xf numFmtId="176" fontId="23" fillId="32" borderId="9">
      <alignment horizontal="right"/>
    </xf>
    <xf numFmtId="177" fontId="23" fillId="32" borderId="9">
      <alignment horizontal="right"/>
    </xf>
    <xf numFmtId="178" fontId="23" fillId="32" borderId="9">
      <alignment horizontal="right"/>
      <protection locked="0"/>
    </xf>
    <xf numFmtId="179" fontId="23" fillId="32" borderId="9">
      <alignment horizontal="right"/>
    </xf>
    <xf numFmtId="180" fontId="23" fillId="32" borderId="9">
      <alignment horizontal="right"/>
    </xf>
    <xf numFmtId="171" fontId="23" fillId="32" borderId="9">
      <alignment horizontal="right"/>
    </xf>
    <xf numFmtId="2" fontId="23" fillId="32" borderId="9">
      <alignment horizontal="right"/>
    </xf>
    <xf numFmtId="181" fontId="23" fillId="32" borderId="9">
      <alignment horizontal="right"/>
    </xf>
    <xf numFmtId="182" fontId="23" fillId="32" borderId="9">
      <alignment horizontal="right"/>
    </xf>
    <xf numFmtId="170" fontId="23" fillId="32" borderId="9">
      <alignment horizontal="right"/>
    </xf>
    <xf numFmtId="1" fontId="23" fillId="32" borderId="9">
      <alignment horizontal="right"/>
    </xf>
    <xf numFmtId="183" fontId="23" fillId="32" borderId="9">
      <alignment horizontal="right"/>
    </xf>
    <xf numFmtId="177" fontId="23" fillId="32" borderId="9">
      <alignment horizontal="right"/>
    </xf>
    <xf numFmtId="178" fontId="23" fillId="32" borderId="9">
      <alignment horizontal="right"/>
    </xf>
    <xf numFmtId="184" fontId="23" fillId="32" borderId="9">
      <alignment horizontal="right"/>
    </xf>
    <xf numFmtId="185" fontId="23" fillId="32" borderId="9">
      <alignment horizontal="right"/>
    </xf>
    <xf numFmtId="186" fontId="23" fillId="32" borderId="9">
      <alignment horizontal="right"/>
    </xf>
    <xf numFmtId="187" fontId="23" fillId="32" borderId="9">
      <alignment horizontal="right"/>
    </xf>
    <xf numFmtId="188" fontId="23" fillId="32" borderId="9">
      <alignment horizontal="right"/>
    </xf>
    <xf numFmtId="49" fontId="23" fillId="32" borderId="9">
      <alignment horizontal="left"/>
    </xf>
    <xf numFmtId="49" fontId="23" fillId="32" borderId="9">
      <alignment horizontal="left" wrapText="1"/>
    </xf>
    <xf numFmtId="18" fontId="23" fillId="32" borderId="9">
      <alignment horizontal="left"/>
    </xf>
    <xf numFmtId="49" fontId="23" fillId="33" borderId="9">
      <alignment horizontal="left"/>
    </xf>
    <xf numFmtId="9" fontId="3" fillId="0" borderId="0" applyFont="0" applyFill="0" applyBorder="0" applyAlignment="0" applyProtection="0"/>
    <xf numFmtId="9" fontId="4"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23" fillId="0" borderId="0"/>
    <xf numFmtId="0" fontId="25" fillId="0" borderId="0">
      <alignment vertical="top"/>
    </xf>
    <xf numFmtId="14" fontId="43" fillId="21" borderId="0" applyNumberFormat="0" applyBorder="0" applyProtection="0">
      <alignment horizontal="center" vertical="center" wrapText="1"/>
    </xf>
    <xf numFmtId="0" fontId="44" fillId="0" borderId="3" applyNumberFormat="0" applyBorder="0" applyProtection="0">
      <alignment vertical="center"/>
    </xf>
    <xf numFmtId="0" fontId="40" fillId="0" borderId="0"/>
    <xf numFmtId="167" fontId="23"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0" fontId="22" fillId="0" borderId="0"/>
    <xf numFmtId="38" fontId="41" fillId="0" borderId="0" applyFont="0" applyFill="0" applyBorder="0" applyAlignment="0" applyProtection="0"/>
    <xf numFmtId="168" fontId="22" fillId="0" borderId="0" applyFont="0" applyFill="0" applyBorder="0" applyAlignment="0" applyProtection="0"/>
    <xf numFmtId="0" fontId="12" fillId="7" borderId="1" applyNumberFormat="0" applyAlignment="0" applyProtection="0"/>
    <xf numFmtId="0" fontId="16" fillId="21" borderId="2" applyNumberFormat="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13" fillId="20" borderId="10" applyNumberFormat="0" applyAlignment="0" applyProtection="0"/>
    <xf numFmtId="0" fontId="18"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10" fillId="3" borderId="0" applyNumberFormat="0" applyBorder="0" applyAlignment="0" applyProtection="0"/>
    <xf numFmtId="0" fontId="9" fillId="4" borderId="0" applyNumberFormat="0" applyBorder="0" applyAlignment="0" applyProtection="0"/>
    <xf numFmtId="0" fontId="21" fillId="0" borderId="0"/>
    <xf numFmtId="0" fontId="4" fillId="0" borderId="0"/>
    <xf numFmtId="0" fontId="4" fillId="0" borderId="0"/>
    <xf numFmtId="191" fontId="4" fillId="0" borderId="0" applyFont="0" applyFill="0" applyBorder="0" applyAlignment="0" applyProtection="0"/>
    <xf numFmtId="191" fontId="4" fillId="0" borderId="0" applyFont="0" applyFill="0" applyBorder="0" applyAlignment="0" applyProtection="0"/>
    <xf numFmtId="192" fontId="41" fillId="0" borderId="0" applyFont="0" applyFill="0" applyBorder="0" applyAlignment="0" applyProtection="0"/>
    <xf numFmtId="193" fontId="41" fillId="0" borderId="0" applyFont="0" applyFill="0" applyBorder="0" applyAlignment="0" applyProtection="0"/>
    <xf numFmtId="0" fontId="11" fillId="23" borderId="0" applyNumberFormat="0" applyBorder="0" applyAlignment="0" applyProtection="0"/>
    <xf numFmtId="0" fontId="17" fillId="0" borderId="0" applyNumberFormat="0" applyFill="0" applyBorder="0" applyAlignment="0" applyProtection="0"/>
    <xf numFmtId="0" fontId="4" fillId="24" borderId="8" applyNumberFormat="0" applyFont="0" applyAlignment="0" applyProtection="0"/>
    <xf numFmtId="0" fontId="15" fillId="0" borderId="7" applyNumberFormat="0" applyFill="0" applyAlignment="0" applyProtection="0"/>
    <xf numFmtId="0" fontId="19" fillId="0" borderId="11" applyNumberFormat="0" applyFill="0" applyAlignment="0" applyProtection="0"/>
    <xf numFmtId="0" fontId="5" fillId="0" borderId="0" applyNumberFormat="0" applyFill="0" applyBorder="0" applyAlignment="0" applyProtection="0"/>
    <xf numFmtId="0" fontId="14" fillId="20" borderId="1" applyNumberFormat="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0" fontId="74" fillId="0" borderId="0"/>
    <xf numFmtId="9" fontId="74"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91" fillId="0" borderId="0" applyFont="0" applyFill="0" applyBorder="0" applyAlignment="0" applyProtection="0"/>
    <xf numFmtId="0" fontId="100" fillId="0" borderId="0"/>
    <xf numFmtId="0" fontId="103" fillId="2" borderId="0" applyNumberFormat="0" applyBorder="0" applyAlignment="0" applyProtection="0"/>
    <xf numFmtId="0" fontId="103" fillId="7" borderId="0" applyNumberFormat="0" applyBorder="0" applyAlignment="0" applyProtection="0"/>
    <xf numFmtId="0" fontId="103" fillId="24" borderId="0" applyNumberFormat="0" applyBorder="0" applyAlignment="0" applyProtection="0"/>
    <xf numFmtId="0" fontId="103" fillId="45" borderId="0" applyNumberFormat="0" applyBorder="0" applyAlignment="0" applyProtection="0"/>
    <xf numFmtId="0" fontId="103" fillId="2" borderId="0" applyNumberFormat="0" applyBorder="0" applyAlignment="0" applyProtection="0"/>
    <xf numFmtId="0" fontId="103" fillId="7" borderId="0" applyNumberFormat="0" applyBorder="0" applyAlignment="0" applyProtection="0"/>
    <xf numFmtId="0" fontId="103" fillId="46" borderId="0" applyNumberFormat="0" applyBorder="0" applyAlignment="0" applyProtection="0"/>
    <xf numFmtId="0" fontId="103" fillId="7" borderId="0" applyNumberFormat="0" applyBorder="0" applyAlignment="0" applyProtection="0"/>
    <xf numFmtId="0" fontId="103" fillId="23" borderId="0" applyNumberFormat="0" applyBorder="0" applyAlignment="0" applyProtection="0"/>
    <xf numFmtId="0" fontId="103" fillId="20" borderId="0" applyNumberFormat="0" applyBorder="0" applyAlignment="0" applyProtection="0"/>
    <xf numFmtId="0" fontId="103" fillId="46" borderId="0" applyNumberFormat="0" applyBorder="0" applyAlignment="0" applyProtection="0"/>
    <xf numFmtId="0" fontId="103" fillId="7" borderId="0" applyNumberFormat="0" applyBorder="0" applyAlignment="0" applyProtection="0"/>
    <xf numFmtId="0" fontId="104" fillId="46" borderId="0" applyNumberFormat="0" applyBorder="0" applyAlignment="0" applyProtection="0"/>
    <xf numFmtId="0" fontId="104" fillId="7" borderId="0" applyNumberFormat="0" applyBorder="0" applyAlignment="0" applyProtection="0"/>
    <xf numFmtId="0" fontId="104" fillId="23" borderId="0" applyNumberFormat="0" applyBorder="0" applyAlignment="0" applyProtection="0"/>
    <xf numFmtId="0" fontId="104" fillId="20" borderId="0" applyNumberFormat="0" applyBorder="0" applyAlignment="0" applyProtection="0"/>
    <xf numFmtId="0" fontId="104" fillId="46" borderId="0" applyNumberFormat="0" applyBorder="0" applyAlignment="0" applyProtection="0"/>
    <xf numFmtId="0" fontId="104" fillId="7" borderId="0" applyNumberFormat="0" applyBorder="0" applyAlignment="0" applyProtection="0"/>
    <xf numFmtId="0" fontId="104" fillId="14" borderId="0" applyNumberFormat="0" applyBorder="0" applyAlignment="0" applyProtection="0"/>
    <xf numFmtId="0" fontId="104" fillId="17" borderId="0" applyNumberFormat="0" applyBorder="0" applyAlignment="0" applyProtection="0"/>
    <xf numFmtId="0" fontId="104" fillId="47" borderId="0" applyNumberFormat="0" applyBorder="0" applyAlignment="0" applyProtection="0"/>
    <xf numFmtId="0" fontId="104" fillId="48" borderId="0" applyNumberFormat="0" applyBorder="0" applyAlignment="0" applyProtection="0"/>
    <xf numFmtId="0" fontId="104" fillId="14" borderId="0" applyNumberFormat="0" applyBorder="0" applyAlignment="0" applyProtection="0"/>
    <xf numFmtId="0" fontId="104" fillId="19" borderId="0" applyNumberFormat="0" applyBorder="0" applyAlignment="0" applyProtection="0"/>
    <xf numFmtId="0" fontId="105" fillId="4" borderId="0" applyNumberFormat="0" applyBorder="0" applyAlignment="0" applyProtection="0"/>
    <xf numFmtId="0" fontId="106" fillId="2" borderId="1" applyNumberFormat="0" applyAlignment="0" applyProtection="0"/>
    <xf numFmtId="0" fontId="107" fillId="21" borderId="2" applyNumberFormat="0" applyAlignment="0" applyProtection="0"/>
    <xf numFmtId="0" fontId="108" fillId="0" borderId="7" applyNumberFormat="0" applyFill="0" applyAlignment="0" applyProtection="0"/>
    <xf numFmtId="197" fontId="101" fillId="0" borderId="0" applyFont="0" applyFill="0" applyBorder="0" applyAlignment="0" applyProtection="0"/>
    <xf numFmtId="0" fontId="109" fillId="3" borderId="0" applyNumberFormat="0" applyBorder="0" applyAlignment="0" applyProtection="0"/>
    <xf numFmtId="43" fontId="30" fillId="0" borderId="0" applyFont="0" applyFill="0" applyBorder="0" applyAlignment="0" applyProtection="0"/>
    <xf numFmtId="167" fontId="30" fillId="0" borderId="0" applyFont="0" applyFill="0" applyBorder="0" applyAlignment="0" applyProtection="0"/>
    <xf numFmtId="0" fontId="102" fillId="0" borderId="0"/>
    <xf numFmtId="0" fontId="100" fillId="0" borderId="0"/>
    <xf numFmtId="0" fontId="100" fillId="0" borderId="0"/>
    <xf numFmtId="0" fontId="100" fillId="0" borderId="0"/>
    <xf numFmtId="0" fontId="100" fillId="0" borderId="0"/>
    <xf numFmtId="0" fontId="30" fillId="0" borderId="0"/>
    <xf numFmtId="0" fontId="100" fillId="0" borderId="0"/>
    <xf numFmtId="0" fontId="100" fillId="0" borderId="0"/>
    <xf numFmtId="0" fontId="100" fillId="0" borderId="0"/>
    <xf numFmtId="0" fontId="100" fillId="0" borderId="0"/>
    <xf numFmtId="0" fontId="100" fillId="0" borderId="0"/>
    <xf numFmtId="0" fontId="30" fillId="0" borderId="0"/>
    <xf numFmtId="0" fontId="100" fillId="0" borderId="0"/>
    <xf numFmtId="0" fontId="100" fillId="0" borderId="0"/>
    <xf numFmtId="0" fontId="30" fillId="0" borderId="0"/>
    <xf numFmtId="0" fontId="30" fillId="0" borderId="0"/>
    <xf numFmtId="0" fontId="1" fillId="0" borderId="0"/>
    <xf numFmtId="0" fontId="30" fillId="0" borderId="0"/>
    <xf numFmtId="0" fontId="30" fillId="0" borderId="0"/>
    <xf numFmtId="0" fontId="110" fillId="0" borderId="0"/>
    <xf numFmtId="0" fontId="100" fillId="0" borderId="0"/>
    <xf numFmtId="0" fontId="1" fillId="0" borderId="0"/>
    <xf numFmtId="0" fontId="10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1" fillId="0" borderId="0"/>
    <xf numFmtId="0" fontId="100" fillId="0" borderId="0"/>
    <xf numFmtId="0" fontId="100" fillId="0" borderId="0"/>
    <xf numFmtId="0" fontId="100" fillId="0" borderId="0"/>
    <xf numFmtId="0" fontId="100" fillId="0" borderId="0"/>
    <xf numFmtId="0" fontId="100" fillId="0" borderId="0"/>
    <xf numFmtId="0" fontId="30" fillId="0" borderId="0"/>
    <xf numFmtId="0" fontId="100" fillId="0" borderId="0"/>
    <xf numFmtId="0" fontId="100" fillId="0" borderId="0"/>
    <xf numFmtId="0" fontId="100" fillId="0" borderId="0"/>
    <xf numFmtId="0" fontId="100" fillId="0" borderId="0"/>
    <xf numFmtId="0" fontId="30" fillId="24" borderId="8" applyNumberFormat="0" applyFont="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3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0" fontId="111" fillId="2" borderId="10" applyNumberFormat="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66" applyNumberFormat="0" applyFill="0" applyAlignment="0" applyProtection="0"/>
    <xf numFmtId="0" fontId="116" fillId="0" borderId="67" applyNumberFormat="0" applyFill="0" applyAlignment="0" applyProtection="0"/>
    <xf numFmtId="0" fontId="117" fillId="0" borderId="68" applyNumberFormat="0" applyFill="0" applyAlignment="0" applyProtection="0"/>
    <xf numFmtId="0" fontId="117" fillId="0" borderId="0" applyNumberFormat="0" applyFill="0" applyBorder="0" applyAlignment="0" applyProtection="0"/>
    <xf numFmtId="0" fontId="101" fillId="0" borderId="0"/>
    <xf numFmtId="0" fontId="100" fillId="0" borderId="0"/>
    <xf numFmtId="0" fontId="118" fillId="0" borderId="0" applyNumberFormat="0" applyFill="0" applyBorder="0" applyAlignment="0" applyProtection="0">
      <alignment vertical="top"/>
      <protection locked="0"/>
    </xf>
    <xf numFmtId="0" fontId="119" fillId="49" borderId="0" applyNumberFormat="0" applyBorder="0" applyAlignment="0" applyProtection="0"/>
    <xf numFmtId="0" fontId="119" fillId="7" borderId="0" applyNumberFormat="0" applyBorder="0" applyAlignment="0" applyProtection="0"/>
    <xf numFmtId="0" fontId="119" fillId="24" borderId="0" applyNumberFormat="0" applyBorder="0" applyAlignment="0" applyProtection="0"/>
    <xf numFmtId="0" fontId="119" fillId="49" borderId="0" applyNumberFormat="0" applyBorder="0" applyAlignment="0" applyProtection="0"/>
    <xf numFmtId="0" fontId="119" fillId="6" borderId="0" applyNumberFormat="0" applyBorder="0" applyAlignment="0" applyProtection="0"/>
    <xf numFmtId="0" fontId="119" fillId="7" borderId="0" applyNumberFormat="0" applyBorder="0" applyAlignment="0" applyProtection="0"/>
    <xf numFmtId="0" fontId="119" fillId="20" borderId="0" applyNumberFormat="0" applyBorder="0" applyAlignment="0" applyProtection="0"/>
    <xf numFmtId="0" fontId="119" fillId="9" borderId="0" applyNumberFormat="0" applyBorder="0" applyAlignment="0" applyProtection="0"/>
    <xf numFmtId="0" fontId="119" fillId="23" borderId="0" applyNumberFormat="0" applyBorder="0" applyAlignment="0" applyProtection="0"/>
    <xf numFmtId="0" fontId="119" fillId="20" borderId="0" applyNumberFormat="0" applyBorder="0" applyAlignment="0" applyProtection="0"/>
    <xf numFmtId="0" fontId="119" fillId="50" borderId="0" applyNumberFormat="0" applyBorder="0" applyAlignment="0" applyProtection="0"/>
    <xf numFmtId="0" fontId="119" fillId="7" borderId="0" applyNumberFormat="0" applyBorder="0" applyAlignment="0" applyProtection="0"/>
    <xf numFmtId="0" fontId="120" fillId="50" borderId="0" applyNumberFormat="0" applyBorder="0" applyAlignment="0" applyProtection="0"/>
    <xf numFmtId="0" fontId="120" fillId="51" borderId="0" applyNumberFormat="0" applyBorder="0" applyAlignment="0" applyProtection="0"/>
    <xf numFmtId="0" fontId="120" fillId="23" borderId="0" applyNumberFormat="0" applyBorder="0" applyAlignment="0" applyProtection="0"/>
    <xf numFmtId="0" fontId="120" fillId="20" borderId="0" applyNumberFormat="0" applyBorder="0" applyAlignment="0" applyProtection="0"/>
    <xf numFmtId="0" fontId="120" fillId="50" borderId="0" applyNumberFormat="0" applyBorder="0" applyAlignment="0" applyProtection="0"/>
    <xf numFmtId="0" fontId="120" fillId="7" borderId="0" applyNumberFormat="0" applyBorder="0" applyAlignment="0" applyProtection="0"/>
    <xf numFmtId="0" fontId="121" fillId="4" borderId="0" applyNumberFormat="0" applyBorder="0" applyAlignment="0" applyProtection="0"/>
    <xf numFmtId="0" fontId="122" fillId="49" borderId="1" applyNumberFormat="0" applyAlignment="0" applyProtection="0"/>
    <xf numFmtId="0" fontId="123" fillId="45" borderId="69" applyNumberFormat="0" applyAlignment="0" applyProtection="0"/>
    <xf numFmtId="0" fontId="124" fillId="0" borderId="7" applyNumberFormat="0" applyFill="0" applyAlignment="0" applyProtection="0"/>
    <xf numFmtId="0" fontId="125" fillId="0" borderId="0" applyNumberFormat="0" applyFill="0" applyBorder="0" applyAlignment="0" applyProtection="0"/>
    <xf numFmtId="0" fontId="120" fillId="14" borderId="0" applyNumberFormat="0" applyBorder="0" applyAlignment="0" applyProtection="0"/>
    <xf numFmtId="0" fontId="120" fillId="51" borderId="0" applyNumberFormat="0" applyBorder="0" applyAlignment="0" applyProtection="0"/>
    <xf numFmtId="0" fontId="120" fillId="16" borderId="0" applyNumberFormat="0" applyBorder="0" applyAlignment="0" applyProtection="0"/>
    <xf numFmtId="0" fontId="120" fillId="48" borderId="0" applyNumberFormat="0" applyBorder="0" applyAlignment="0" applyProtection="0"/>
    <xf numFmtId="0" fontId="120" fillId="14" borderId="0" applyNumberFormat="0" applyBorder="0" applyAlignment="0" applyProtection="0"/>
    <xf numFmtId="0" fontId="120" fillId="51" borderId="0" applyNumberFormat="0" applyBorder="0" applyAlignment="0" applyProtection="0"/>
    <xf numFmtId="0" fontId="126" fillId="7" borderId="1" applyNumberFormat="0" applyAlignment="0" applyProtection="0"/>
    <xf numFmtId="0" fontId="127" fillId="3" borderId="0" applyNumberFormat="0" applyBorder="0" applyAlignment="0" applyProtection="0"/>
    <xf numFmtId="0" fontId="128" fillId="23" borderId="0" applyNumberFormat="0" applyBorder="0" applyAlignment="0" applyProtection="0"/>
    <xf numFmtId="0" fontId="30" fillId="24" borderId="8" applyNumberFormat="0" applyFont="0" applyAlignment="0" applyProtection="0"/>
    <xf numFmtId="0" fontId="129" fillId="49" borderId="70" applyNumberFormat="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66" applyNumberFormat="0" applyFill="0" applyAlignment="0" applyProtection="0"/>
    <xf numFmtId="0" fontId="133" fillId="0" borderId="71" applyNumberFormat="0" applyFill="0" applyAlignment="0" applyProtection="0"/>
    <xf numFmtId="0" fontId="125" fillId="0" borderId="72" applyNumberFormat="0" applyFill="0" applyAlignment="0" applyProtection="0"/>
    <xf numFmtId="0" fontId="134" fillId="0" borderId="0" applyNumberFormat="0" applyFill="0" applyBorder="0" applyAlignment="0" applyProtection="0"/>
    <xf numFmtId="0" fontId="135" fillId="0" borderId="73" applyNumberFormat="0" applyFill="0" applyAlignment="0" applyProtection="0"/>
    <xf numFmtId="0" fontId="100" fillId="0" borderId="0"/>
    <xf numFmtId="0" fontId="30" fillId="0" borderId="0"/>
    <xf numFmtId="0" fontId="1" fillId="0" borderId="0"/>
    <xf numFmtId="9" fontId="136" fillId="0" borderId="0" applyFont="0" applyFill="0" applyBorder="0" applyAlignment="0" applyProtection="0"/>
    <xf numFmtId="0" fontId="100" fillId="0" borderId="0"/>
    <xf numFmtId="9" fontId="100" fillId="0" borderId="0" applyFont="0" applyFill="0" applyBorder="0" applyAlignment="0" applyProtection="0"/>
    <xf numFmtId="9" fontId="100" fillId="0" borderId="0" applyFont="0" applyFill="0" applyBorder="0" applyAlignment="0" applyProtection="0"/>
    <xf numFmtId="0" fontId="100" fillId="0" borderId="0"/>
    <xf numFmtId="0" fontId="100" fillId="0" borderId="0"/>
    <xf numFmtId="9" fontId="100" fillId="0" borderId="0" applyFont="0" applyFill="0" applyBorder="0" applyAlignment="0" applyProtection="0"/>
    <xf numFmtId="0" fontId="100" fillId="0" borderId="0"/>
    <xf numFmtId="9" fontId="100" fillId="0" borderId="0" applyFont="0" applyFill="0" applyBorder="0" applyAlignment="0" applyProtection="0"/>
    <xf numFmtId="9" fontId="100" fillId="0" borderId="0" applyFont="0" applyFill="0" applyBorder="0" applyAlignment="0" applyProtection="0"/>
    <xf numFmtId="0" fontId="1" fillId="0" borderId="0"/>
    <xf numFmtId="0" fontId="106" fillId="2" borderId="74" applyNumberFormat="0" applyAlignment="0" applyProtection="0"/>
    <xf numFmtId="0" fontId="30" fillId="24" borderId="75" applyNumberFormat="0" applyFont="0" applyAlignment="0" applyProtection="0"/>
    <xf numFmtId="0" fontId="111" fillId="2" borderId="76" applyNumberFormat="0" applyAlignment="0" applyProtection="0"/>
    <xf numFmtId="0" fontId="122" fillId="49" borderId="74" applyNumberFormat="0" applyAlignment="0" applyProtection="0"/>
    <xf numFmtId="0" fontId="126" fillId="7" borderId="74" applyNumberFormat="0" applyAlignment="0" applyProtection="0"/>
    <xf numFmtId="0" fontId="30" fillId="24" borderId="75" applyNumberFormat="0" applyFont="0" applyAlignment="0" applyProtection="0"/>
    <xf numFmtId="0" fontId="129" fillId="49" borderId="77" applyNumberFormat="0" applyAlignment="0" applyProtection="0"/>
    <xf numFmtId="0" fontId="135" fillId="0" borderId="78" applyNumberFormat="0" applyFill="0" applyAlignment="0" applyProtection="0"/>
    <xf numFmtId="43" fontId="3" fillId="0" borderId="0" applyFont="0" applyFill="0" applyBorder="0" applyAlignment="0" applyProtection="0"/>
  </cellStyleXfs>
  <cellXfs count="966">
    <xf numFmtId="0" fontId="0" fillId="0" borderId="0" xfId="0"/>
    <xf numFmtId="3" fontId="45" fillId="0" borderId="0" xfId="0" applyNumberFormat="1" applyFont="1" applyFill="1" applyBorder="1" applyAlignment="1">
      <alignment horizontal="center" vertical="center"/>
    </xf>
    <xf numFmtId="3" fontId="46" fillId="34" borderId="0" xfId="0" applyNumberFormat="1" applyFont="1" applyFill="1" applyBorder="1" applyAlignment="1">
      <alignment horizontal="center" vertical="center"/>
    </xf>
    <xf numFmtId="3" fontId="46" fillId="34" borderId="13" xfId="0" applyNumberFormat="1" applyFont="1" applyFill="1" applyBorder="1" applyAlignment="1">
      <alignment horizontal="center" vertical="center"/>
    </xf>
    <xf numFmtId="0" fontId="47" fillId="0" borderId="0" xfId="0" applyFont="1"/>
    <xf numFmtId="0" fontId="45" fillId="0" borderId="0" xfId="0" applyFont="1" applyBorder="1" applyAlignment="1"/>
    <xf numFmtId="0" fontId="47" fillId="0" borderId="0" xfId="0" applyFont="1" applyFill="1"/>
    <xf numFmtId="0" fontId="55" fillId="0" borderId="0" xfId="39" applyFont="1" applyBorder="1" applyAlignment="1" applyProtection="1">
      <alignment horizontal="right"/>
    </xf>
    <xf numFmtId="0" fontId="47" fillId="0" borderId="0" xfId="68" applyFont="1" applyFill="1"/>
    <xf numFmtId="0" fontId="47" fillId="0" borderId="0" xfId="0" applyFont="1" applyFill="1" applyBorder="1"/>
    <xf numFmtId="0" fontId="47" fillId="0" borderId="0" xfId="0" applyFont="1" applyBorder="1"/>
    <xf numFmtId="0" fontId="57" fillId="0" borderId="0" xfId="0" applyFont="1"/>
    <xf numFmtId="0" fontId="57" fillId="0" borderId="0" xfId="0" applyFont="1" applyFill="1"/>
    <xf numFmtId="0" fontId="45" fillId="0" borderId="0" xfId="0" applyFont="1" applyFill="1" applyBorder="1" applyAlignment="1"/>
    <xf numFmtId="0" fontId="58" fillId="0" borderId="0" xfId="0" applyFont="1" applyFill="1" applyBorder="1" applyAlignment="1">
      <alignment vertical="center" wrapText="1"/>
    </xf>
    <xf numFmtId="3" fontId="45" fillId="0" borderId="0" xfId="0" applyNumberFormat="1" applyFont="1" applyFill="1" applyBorder="1" applyAlignment="1"/>
    <xf numFmtId="3" fontId="45" fillId="0" borderId="0" xfId="0" applyNumberFormat="1" applyFont="1" applyBorder="1" applyAlignment="1"/>
    <xf numFmtId="0" fontId="45" fillId="0" borderId="0" xfId="0" applyFont="1" applyFill="1" applyBorder="1" applyAlignment="1">
      <alignment vertical="center"/>
    </xf>
    <xf numFmtId="0" fontId="45" fillId="0" borderId="12" xfId="0" applyFont="1" applyFill="1" applyBorder="1" applyAlignment="1">
      <alignment horizontal="left" vertical="center"/>
    </xf>
    <xf numFmtId="0" fontId="47" fillId="0" borderId="0" xfId="68" applyFont="1"/>
    <xf numFmtId="0" fontId="47" fillId="36" borderId="0" xfId="68" applyFont="1" applyFill="1"/>
    <xf numFmtId="0" fontId="56" fillId="0" borderId="0" xfId="68" applyFont="1" applyFill="1" applyAlignment="1">
      <alignment vertical="center" textRotation="90"/>
    </xf>
    <xf numFmtId="0" fontId="55" fillId="0" borderId="0" xfId="34" applyFont="1" applyAlignment="1" applyProtection="1"/>
    <xf numFmtId="0" fontId="55" fillId="0" borderId="0" xfId="34" applyFont="1" applyAlignment="1" applyProtection="1">
      <alignment horizontal="right"/>
    </xf>
    <xf numFmtId="0" fontId="64" fillId="0" borderId="0" xfId="68" applyFont="1" applyAlignment="1">
      <alignment horizontal="left" indent="2"/>
    </xf>
    <xf numFmtId="0" fontId="55" fillId="0" borderId="0" xfId="39" applyFont="1" applyAlignment="1" applyProtection="1">
      <alignment horizontal="right"/>
    </xf>
    <xf numFmtId="0" fontId="46" fillId="0" borderId="12" xfId="0" applyFont="1" applyFill="1" applyBorder="1" applyAlignment="1">
      <alignment vertical="center" wrapText="1"/>
    </xf>
    <xf numFmtId="0" fontId="56" fillId="0" borderId="0" xfId="68" applyFont="1" applyFill="1" applyBorder="1" applyAlignment="1">
      <alignment vertical="center" textRotation="90"/>
    </xf>
    <xf numFmtId="3" fontId="47" fillId="0" borderId="18" xfId="0" applyNumberFormat="1" applyFont="1" applyFill="1" applyBorder="1" applyAlignment="1">
      <alignment horizontal="center" vertical="center" wrapText="1"/>
    </xf>
    <xf numFmtId="0" fontId="52" fillId="26" borderId="2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Border="1" applyAlignment="1">
      <alignment vertical="center"/>
    </xf>
    <xf numFmtId="0" fontId="55" fillId="0" borderId="0" xfId="39" applyFont="1" applyBorder="1" applyAlignment="1" applyProtection="1">
      <alignment horizontal="right" vertical="center"/>
    </xf>
    <xf numFmtId="0" fontId="46" fillId="0" borderId="0" xfId="0" applyFont="1" applyBorder="1" applyAlignment="1">
      <alignment vertical="center"/>
    </xf>
    <xf numFmtId="0" fontId="45" fillId="0" borderId="12" xfId="0" applyFont="1" applyBorder="1" applyAlignment="1">
      <alignment horizontal="left" vertical="center"/>
    </xf>
    <xf numFmtId="0" fontId="46" fillId="0" borderId="12" xfId="0" applyFont="1" applyBorder="1" applyAlignment="1">
      <alignment horizontal="left" vertical="center"/>
    </xf>
    <xf numFmtId="0" fontId="47" fillId="0" borderId="0" xfId="0" applyFont="1" applyBorder="1" applyAlignment="1">
      <alignment vertical="center"/>
    </xf>
    <xf numFmtId="0" fontId="61" fillId="0" borderId="12" xfId="0" applyFont="1" applyBorder="1" applyAlignment="1">
      <alignment horizontal="left" vertical="center"/>
    </xf>
    <xf numFmtId="0" fontId="50" fillId="0" borderId="0" xfId="0" applyFont="1" applyBorder="1" applyAlignment="1">
      <alignment vertical="center"/>
    </xf>
    <xf numFmtId="0" fontId="0" fillId="0" borderId="0" xfId="0" applyAlignment="1">
      <alignment vertical="center"/>
    </xf>
    <xf numFmtId="0" fontId="65" fillId="0" borderId="12" xfId="0" applyFont="1" applyFill="1" applyBorder="1" applyAlignment="1">
      <alignment vertical="center"/>
    </xf>
    <xf numFmtId="9" fontId="45" fillId="0" borderId="18" xfId="132" applyFont="1" applyFill="1" applyBorder="1" applyAlignment="1">
      <alignment horizontal="center" vertical="center"/>
    </xf>
    <xf numFmtId="0" fontId="46" fillId="0" borderId="0" xfId="0" applyFont="1" applyFill="1" applyBorder="1" applyAlignment="1">
      <alignment vertical="center"/>
    </xf>
    <xf numFmtId="0" fontId="66" fillId="0" borderId="0" xfId="0" applyFont="1" applyBorder="1" applyAlignment="1">
      <alignment vertical="center"/>
    </xf>
    <xf numFmtId="0" fontId="60" fillId="0" borderId="0" xfId="0" applyFont="1" applyBorder="1" applyAlignment="1">
      <alignment vertical="center"/>
    </xf>
    <xf numFmtId="0" fontId="45" fillId="0" borderId="12" xfId="0" applyFont="1" applyBorder="1" applyAlignment="1">
      <alignment horizontal="left" vertical="center" indent="1"/>
    </xf>
    <xf numFmtId="0" fontId="45" fillId="0" borderId="12" xfId="0" applyFont="1" applyFill="1" applyBorder="1" applyAlignment="1">
      <alignment horizontal="left" vertical="center" wrapText="1" indent="1"/>
    </xf>
    <xf numFmtId="0" fontId="45" fillId="0" borderId="12" xfId="0" applyFont="1" applyFill="1" applyBorder="1" applyAlignment="1">
      <alignment horizontal="left" vertical="center" indent="1"/>
    </xf>
    <xf numFmtId="0" fontId="46" fillId="34" borderId="12" xfId="0" applyFont="1" applyFill="1" applyBorder="1" applyAlignment="1">
      <alignment horizontal="left" vertical="center" wrapText="1" indent="1"/>
    </xf>
    <xf numFmtId="0" fontId="60" fillId="0" borderId="0" xfId="0" applyFont="1" applyFill="1" applyBorder="1" applyAlignment="1">
      <alignment vertical="center"/>
    </xf>
    <xf numFmtId="0" fontId="65" fillId="0" borderId="22" xfId="0" applyFont="1" applyFill="1" applyBorder="1" applyAlignment="1">
      <alignment vertical="center"/>
    </xf>
    <xf numFmtId="0" fontId="73" fillId="0" borderId="0" xfId="68" applyFont="1" applyAlignment="1">
      <alignment vertical="center"/>
    </xf>
    <xf numFmtId="0" fontId="50" fillId="0" borderId="0" xfId="68" applyFont="1" applyFill="1"/>
    <xf numFmtId="0" fontId="50" fillId="36" borderId="0" xfId="68" applyFont="1" applyFill="1"/>
    <xf numFmtId="0" fontId="50" fillId="0" borderId="0" xfId="68" applyFont="1"/>
    <xf numFmtId="0" fontId="75" fillId="0" borderId="0" xfId="68" applyFont="1"/>
    <xf numFmtId="0" fontId="48" fillId="0" borderId="12" xfId="0" applyFont="1" applyBorder="1" applyAlignment="1">
      <alignment horizontal="left" vertical="center" indent="4"/>
    </xf>
    <xf numFmtId="3" fontId="49" fillId="0" borderId="0" xfId="0" applyNumberFormat="1" applyFont="1" applyFill="1" applyBorder="1" applyAlignment="1">
      <alignment horizontal="center"/>
    </xf>
    <xf numFmtId="3" fontId="48" fillId="0" borderId="0" xfId="0" applyNumberFormat="1" applyFont="1" applyFill="1" applyBorder="1" applyAlignment="1">
      <alignment horizontal="center"/>
    </xf>
    <xf numFmtId="169" fontId="49" fillId="0" borderId="0" xfId="132" applyNumberFormat="1" applyFont="1" applyFill="1" applyBorder="1" applyAlignment="1">
      <alignment horizontal="center"/>
    </xf>
    <xf numFmtId="9" fontId="45" fillId="38" borderId="18" xfId="132" applyFont="1" applyFill="1" applyBorder="1" applyAlignment="1">
      <alignment horizontal="center" vertical="center"/>
    </xf>
    <xf numFmtId="0" fontId="86" fillId="0" borderId="0" xfId="39" applyFont="1" applyBorder="1" applyAlignment="1" applyProtection="1">
      <alignment horizontal="right"/>
    </xf>
    <xf numFmtId="3" fontId="48" fillId="37" borderId="0" xfId="0" applyNumberFormat="1" applyFont="1" applyFill="1" applyBorder="1" applyAlignment="1">
      <alignment horizontal="center"/>
    </xf>
    <xf numFmtId="3" fontId="46" fillId="37" borderId="0" xfId="0" applyNumberFormat="1" applyFont="1" applyFill="1" applyBorder="1" applyAlignment="1">
      <alignment horizontal="center" vertical="center"/>
    </xf>
    <xf numFmtId="3" fontId="54" fillId="37" borderId="0" xfId="0" applyNumberFormat="1" applyFont="1" applyFill="1" applyBorder="1" applyAlignment="1">
      <alignment horizontal="center" vertical="center"/>
    </xf>
    <xf numFmtId="169" fontId="49" fillId="37" borderId="0" xfId="132" applyNumberFormat="1" applyFont="1" applyFill="1" applyBorder="1" applyAlignment="1">
      <alignment horizontal="center"/>
    </xf>
    <xf numFmtId="0" fontId="84" fillId="0" borderId="0" xfId="0" applyFont="1" applyFill="1" applyBorder="1" applyAlignment="1">
      <alignment horizontal="center" vertical="center" wrapText="1"/>
    </xf>
    <xf numFmtId="0" fontId="46" fillId="0" borderId="0" xfId="68" applyFont="1" applyFill="1" applyAlignment="1">
      <alignment vertical="center" textRotation="90"/>
    </xf>
    <xf numFmtId="0" fontId="32" fillId="0" borderId="0" xfId="39" applyAlignment="1" applyProtection="1"/>
    <xf numFmtId="0" fontId="89" fillId="0" borderId="0" xfId="0" applyFont="1" applyBorder="1" applyAlignment="1">
      <alignment vertical="center"/>
    </xf>
    <xf numFmtId="0" fontId="46" fillId="0" borderId="26" xfId="0" applyFont="1" applyBorder="1" applyAlignment="1">
      <alignment horizontal="left" vertical="center"/>
    </xf>
    <xf numFmtId="3" fontId="46" fillId="0" borderId="0" xfId="0" applyNumberFormat="1" applyFont="1" applyFill="1" applyBorder="1" applyAlignment="1">
      <alignment horizontal="center" vertical="center"/>
    </xf>
    <xf numFmtId="9" fontId="47" fillId="0" borderId="0" xfId="132" applyFont="1" applyAlignment="1">
      <alignment horizontal="left" vertical="center"/>
    </xf>
    <xf numFmtId="169" fontId="48" fillId="37" borderId="0" xfId="132" applyNumberFormat="1" applyFont="1" applyFill="1" applyBorder="1" applyAlignment="1">
      <alignment horizontal="center"/>
    </xf>
    <xf numFmtId="0" fontId="56" fillId="0" borderId="0" xfId="184" applyFont="1" applyFill="1" applyAlignment="1" applyProtection="1">
      <alignment vertical="center"/>
    </xf>
    <xf numFmtId="0" fontId="62" fillId="0" borderId="0" xfId="184" applyFont="1" applyAlignment="1" applyProtection="1">
      <alignment vertical="center"/>
    </xf>
    <xf numFmtId="0" fontId="56" fillId="0" borderId="0" xfId="184" applyFont="1" applyFill="1" applyAlignment="1">
      <alignment horizontal="center" vertical="center"/>
    </xf>
    <xf numFmtId="0" fontId="62" fillId="0" borderId="0" xfId="184" applyFont="1" applyFill="1" applyAlignment="1" applyProtection="1">
      <alignment vertical="center"/>
    </xf>
    <xf numFmtId="0" fontId="56" fillId="0" borderId="0" xfId="184" applyFont="1" applyFill="1" applyAlignment="1" applyProtection="1">
      <alignment horizontal="center" vertical="center"/>
    </xf>
    <xf numFmtId="0" fontId="46" fillId="34" borderId="26" xfId="0" applyFont="1" applyFill="1" applyBorder="1" applyAlignment="1">
      <alignment horizontal="left" vertical="center" wrapText="1" indent="1"/>
    </xf>
    <xf numFmtId="0" fontId="47" fillId="0" borderId="0" xfId="184" applyFont="1" applyAlignment="1">
      <alignment horizontal="left" vertical="center"/>
    </xf>
    <xf numFmtId="0" fontId="80" fillId="0" borderId="0" xfId="184" applyFont="1" applyAlignment="1">
      <alignment vertical="center"/>
    </xf>
    <xf numFmtId="0" fontId="62" fillId="0" borderId="0" xfId="184" applyFont="1" applyFill="1" applyProtection="1"/>
    <xf numFmtId="0" fontId="60" fillId="0" borderId="0" xfId="184" applyFont="1" applyFill="1" applyAlignment="1">
      <alignment horizontal="center" vertical="center"/>
    </xf>
    <xf numFmtId="3" fontId="46" fillId="35" borderId="14" xfId="0" applyNumberFormat="1" applyFont="1" applyFill="1" applyBorder="1" applyAlignment="1">
      <alignment horizontal="center" vertical="center" wrapText="1"/>
    </xf>
    <xf numFmtId="1" fontId="46" fillId="35" borderId="14" xfId="0" applyNumberFormat="1" applyFont="1" applyFill="1" applyBorder="1" applyAlignment="1">
      <alignment horizontal="center" vertical="center" wrapText="1"/>
    </xf>
    <xf numFmtId="0" fontId="46" fillId="0" borderId="15" xfId="0" applyFont="1" applyBorder="1" applyAlignment="1">
      <alignment horizontal="left"/>
    </xf>
    <xf numFmtId="3" fontId="46" fillId="34" borderId="14" xfId="0" applyNumberFormat="1" applyFont="1" applyFill="1" applyBorder="1" applyAlignment="1">
      <alignment horizontal="center" vertical="center" wrapText="1"/>
    </xf>
    <xf numFmtId="0" fontId="46" fillId="0" borderId="14" xfId="0" applyFont="1" applyBorder="1" applyAlignment="1">
      <alignment horizontal="left"/>
    </xf>
    <xf numFmtId="0" fontId="46" fillId="0" borderId="14" xfId="0" applyFont="1" applyBorder="1" applyAlignment="1">
      <alignment horizontal="center" vertical="center"/>
    </xf>
    <xf numFmtId="3" fontId="46" fillId="34" borderId="16" xfId="0" applyNumberFormat="1" applyFont="1" applyFill="1" applyBorder="1" applyAlignment="1">
      <alignment horizontal="center" vertical="center" wrapText="1"/>
    </xf>
    <xf numFmtId="0" fontId="62" fillId="0" borderId="0" xfId="184" applyFont="1" applyProtection="1"/>
    <xf numFmtId="174" fontId="62" fillId="0" borderId="0" xfId="184" applyNumberFormat="1" applyFont="1" applyProtection="1"/>
    <xf numFmtId="0" fontId="61" fillId="26" borderId="27" xfId="0" applyFont="1" applyFill="1" applyBorder="1" applyAlignment="1">
      <alignment vertical="center" wrapText="1"/>
    </xf>
    <xf numFmtId="0" fontId="45" fillId="0" borderId="0" xfId="186" applyFont="1" applyBorder="1" applyAlignment="1"/>
    <xf numFmtId="0" fontId="47" fillId="0" borderId="0" xfId="186" applyFont="1" applyBorder="1"/>
    <xf numFmtId="0" fontId="45" fillId="0" borderId="0" xfId="186" applyFont="1" applyBorder="1"/>
    <xf numFmtId="0" fontId="83" fillId="0" borderId="0" xfId="186" applyFont="1" applyFill="1" applyBorder="1" applyAlignment="1">
      <alignment horizontal="center" vertical="center" wrapText="1"/>
    </xf>
    <xf numFmtId="0" fontId="45" fillId="0" borderId="0" xfId="186" applyFont="1" applyFill="1" applyBorder="1"/>
    <xf numFmtId="0" fontId="46" fillId="0" borderId="0" xfId="186" applyFont="1" applyBorder="1"/>
    <xf numFmtId="0" fontId="70" fillId="0" borderId="12" xfId="186" applyFont="1" applyBorder="1"/>
    <xf numFmtId="3" fontId="49" fillId="0" borderId="0" xfId="186" applyNumberFormat="1" applyFont="1" applyFill="1" applyBorder="1" applyAlignment="1">
      <alignment horizontal="center"/>
    </xf>
    <xf numFmtId="0" fontId="46" fillId="0" borderId="12" xfId="186" applyFont="1" applyBorder="1"/>
    <xf numFmtId="3" fontId="48" fillId="0" borderId="0" xfId="186" applyNumberFormat="1" applyFont="1" applyFill="1" applyBorder="1" applyAlignment="1">
      <alignment horizontal="center"/>
    </xf>
    <xf numFmtId="0" fontId="70" fillId="0" borderId="12" xfId="186" applyFont="1" applyFill="1" applyBorder="1"/>
    <xf numFmtId="0" fontId="46" fillId="0" borderId="12" xfId="186" applyFont="1" applyFill="1" applyBorder="1"/>
    <xf numFmtId="0" fontId="45" fillId="0" borderId="12" xfId="186" applyFont="1" applyFill="1" applyBorder="1"/>
    <xf numFmtId="0" fontId="50" fillId="0" borderId="0" xfId="186" applyFont="1" applyBorder="1"/>
    <xf numFmtId="0" fontId="85" fillId="0" borderId="0" xfId="186" applyFont="1"/>
    <xf numFmtId="0" fontId="85" fillId="0" borderId="0" xfId="186" applyFont="1" applyFill="1"/>
    <xf numFmtId="0" fontId="53" fillId="0" borderId="0" xfId="184" applyFont="1" applyFill="1" applyAlignment="1" applyProtection="1">
      <alignment vertical="center"/>
    </xf>
    <xf numFmtId="0" fontId="85" fillId="0" borderId="0" xfId="186" applyFont="1" applyFill="1" applyBorder="1"/>
    <xf numFmtId="0" fontId="53" fillId="0" borderId="0" xfId="184" applyFont="1" applyFill="1" applyAlignment="1">
      <alignment horizontal="center" vertical="center"/>
    </xf>
    <xf numFmtId="0" fontId="85" fillId="0" borderId="0" xfId="184" applyFont="1" applyFill="1" applyProtection="1"/>
    <xf numFmtId="0" fontId="88" fillId="0" borderId="0" xfId="186" applyFont="1"/>
    <xf numFmtId="0" fontId="88" fillId="0" borderId="0" xfId="186" applyFont="1" applyFill="1"/>
    <xf numFmtId="0" fontId="85" fillId="0" borderId="0" xfId="184" applyFont="1" applyAlignment="1">
      <alignment horizontal="left" vertical="center"/>
    </xf>
    <xf numFmtId="173" fontId="46" fillId="26" borderId="29" xfId="0" applyNumberFormat="1" applyFont="1" applyFill="1" applyBorder="1" applyAlignment="1">
      <alignment horizontal="center" vertical="center" wrapText="1"/>
    </xf>
    <xf numFmtId="3" fontId="45" fillId="0" borderId="0" xfId="67" applyNumberFormat="1" applyFont="1" applyFill="1" applyBorder="1" applyAlignment="1">
      <alignment horizontal="center" vertical="center"/>
    </xf>
    <xf numFmtId="0" fontId="56" fillId="0" borderId="0" xfId="184" applyFont="1" applyFill="1" applyBorder="1" applyAlignment="1">
      <alignment horizontal="center" vertical="center"/>
    </xf>
    <xf numFmtId="3" fontId="59" fillId="37" borderId="0" xfId="0" applyNumberFormat="1" applyFont="1" applyFill="1" applyBorder="1" applyAlignment="1">
      <alignment vertical="center"/>
    </xf>
    <xf numFmtId="0" fontId="64" fillId="0" borderId="0" xfId="184" applyFont="1" applyAlignment="1">
      <alignment horizontal="left" indent="2"/>
    </xf>
    <xf numFmtId="0" fontId="83" fillId="0" borderId="0" xfId="0" applyFont="1" applyFill="1" applyBorder="1" applyAlignment="1">
      <alignment horizontal="center" vertical="center" wrapText="1"/>
    </xf>
    <xf numFmtId="3" fontId="46" fillId="34" borderId="30" xfId="0" applyNumberFormat="1" applyFont="1" applyFill="1" applyBorder="1" applyAlignment="1">
      <alignment horizontal="center" vertical="center"/>
    </xf>
    <xf numFmtId="0" fontId="79" fillId="0" borderId="0" xfId="186" applyFont="1" applyFill="1" applyAlignment="1">
      <alignment horizontal="center" vertical="center" wrapText="1"/>
    </xf>
    <xf numFmtId="0" fontId="79" fillId="0" borderId="0" xfId="186" applyFont="1" applyFill="1" applyBorder="1" applyAlignment="1">
      <alignment horizontal="center" vertical="center" wrapText="1"/>
    </xf>
    <xf numFmtId="0" fontId="83" fillId="0" borderId="0" xfId="0" applyFont="1" applyFill="1" applyBorder="1" applyAlignment="1">
      <alignment horizontal="center" vertical="center" wrapText="1"/>
    </xf>
    <xf numFmtId="9" fontId="45" fillId="0" borderId="0" xfId="0" applyNumberFormat="1" applyFont="1" applyFill="1" applyBorder="1" applyAlignment="1">
      <alignment horizontal="center" vertical="center"/>
    </xf>
    <xf numFmtId="9" fontId="46" fillId="0" borderId="0" xfId="0" applyNumberFormat="1" applyFont="1" applyFill="1" applyBorder="1" applyAlignment="1">
      <alignment horizontal="center" vertical="center"/>
    </xf>
    <xf numFmtId="0" fontId="83" fillId="0" borderId="0" xfId="0" applyFont="1" applyFill="1" applyBorder="1" applyAlignment="1">
      <alignment horizontal="center" vertical="center" wrapText="1"/>
    </xf>
    <xf numFmtId="0" fontId="83" fillId="0" borderId="0" xfId="0" applyFont="1" applyFill="1" applyBorder="1" applyAlignment="1">
      <alignment horizontal="center" vertical="center" wrapText="1"/>
    </xf>
    <xf numFmtId="9" fontId="51" fillId="0" borderId="30" xfId="0" applyNumberFormat="1" applyFont="1" applyFill="1" applyBorder="1" applyAlignment="1">
      <alignment horizontal="center" vertical="center"/>
    </xf>
    <xf numFmtId="3" fontId="45" fillId="0" borderId="30" xfId="0" applyNumberFormat="1" applyFont="1" applyFill="1" applyBorder="1" applyAlignment="1">
      <alignment horizontal="center" vertical="center"/>
    </xf>
    <xf numFmtId="173" fontId="49" fillId="26" borderId="29" xfId="186" applyNumberFormat="1" applyFont="1" applyFill="1" applyBorder="1" applyAlignment="1">
      <alignment horizontal="center" vertical="center" wrapText="1"/>
    </xf>
    <xf numFmtId="169" fontId="49" fillId="0" borderId="30" xfId="132" applyNumberFormat="1" applyFont="1" applyFill="1" applyBorder="1" applyAlignment="1">
      <alignment horizontal="center"/>
    </xf>
    <xf numFmtId="9" fontId="51" fillId="0" borderId="31" xfId="0" applyNumberFormat="1" applyFont="1" applyFill="1" applyBorder="1" applyAlignment="1">
      <alignment horizontal="center" vertical="center"/>
    </xf>
    <xf numFmtId="3" fontId="48" fillId="0" borderId="0" xfId="0" applyNumberFormat="1" applyFont="1" applyFill="1" applyBorder="1" applyAlignment="1">
      <alignment horizontal="center" vertical="center"/>
    </xf>
    <xf numFmtId="173" fontId="46" fillId="26" borderId="32" xfId="0" applyNumberFormat="1" applyFont="1" applyFill="1" applyBorder="1" applyAlignment="1">
      <alignment horizontal="center" vertical="center" wrapText="1"/>
    </xf>
    <xf numFmtId="0" fontId="52" fillId="26" borderId="27" xfId="0" applyFont="1" applyFill="1" applyBorder="1" applyAlignment="1">
      <alignment vertical="center"/>
    </xf>
    <xf numFmtId="0" fontId="61" fillId="26" borderId="27" xfId="0" applyFont="1" applyFill="1" applyBorder="1" applyAlignment="1">
      <alignment horizontal="left" vertical="center"/>
    </xf>
    <xf numFmtId="3" fontId="49" fillId="0" borderId="0" xfId="0" applyNumberFormat="1" applyFont="1" applyFill="1" applyBorder="1" applyAlignment="1">
      <alignment horizontal="center" vertical="center"/>
    </xf>
    <xf numFmtId="3" fontId="48" fillId="0" borderId="30" xfId="0" applyNumberFormat="1" applyFont="1" applyFill="1" applyBorder="1" applyAlignment="1">
      <alignment horizontal="center" vertical="center"/>
    </xf>
    <xf numFmtId="0" fontId="49" fillId="0" borderId="12" xfId="186" applyFont="1" applyBorder="1"/>
    <xf numFmtId="0" fontId="49" fillId="0" borderId="12" xfId="186" applyFont="1" applyBorder="1" applyAlignment="1">
      <alignment horizontal="left" vertical="center"/>
    </xf>
    <xf numFmtId="0" fontId="49" fillId="0" borderId="26" xfId="186" applyFont="1" applyBorder="1"/>
    <xf numFmtId="0" fontId="49" fillId="0" borderId="19" xfId="0" applyFont="1" applyBorder="1" applyAlignment="1">
      <alignment vertical="center"/>
    </xf>
    <xf numFmtId="0" fontId="49" fillId="0" borderId="23" xfId="0" applyFont="1" applyBorder="1" applyAlignment="1">
      <alignment horizontal="left" vertical="center" indent="2"/>
    </xf>
    <xf numFmtId="0" fontId="49" fillId="0" borderId="18" xfId="0" applyFont="1" applyBorder="1" applyAlignment="1">
      <alignment horizontal="left" vertical="center" indent="2"/>
    </xf>
    <xf numFmtId="0" fontId="90" fillId="0" borderId="25" xfId="0" applyFont="1" applyFill="1" applyBorder="1" applyAlignment="1">
      <alignment horizontal="left" vertical="center" indent="2"/>
    </xf>
    <xf numFmtId="173" fontId="49" fillId="26" borderId="29" xfId="0" applyNumberFormat="1" applyFont="1" applyFill="1" applyBorder="1" applyAlignment="1">
      <alignment horizontal="center" vertical="center" wrapText="1"/>
    </xf>
    <xf numFmtId="0" fontId="49" fillId="0" borderId="18" xfId="0" applyFont="1" applyFill="1" applyBorder="1" applyAlignment="1">
      <alignment horizontal="left" vertical="center"/>
    </xf>
    <xf numFmtId="0" fontId="48" fillId="0" borderId="18" xfId="0" applyFont="1" applyFill="1" applyBorder="1" applyAlignment="1">
      <alignment horizontal="left" vertical="center"/>
    </xf>
    <xf numFmtId="0" fontId="48" fillId="0" borderId="25" xfId="0" applyFont="1" applyFill="1" applyBorder="1" applyAlignment="1">
      <alignment horizontal="left" vertical="center"/>
    </xf>
    <xf numFmtId="0" fontId="45" fillId="0" borderId="12" xfId="0" applyFont="1" applyBorder="1" applyAlignment="1">
      <alignment horizontal="left" vertical="center" wrapText="1"/>
    </xf>
    <xf numFmtId="0" fontId="46" fillId="35" borderId="33" xfId="0" applyFont="1" applyFill="1" applyBorder="1" applyAlignment="1">
      <alignment horizontal="left" vertical="center" wrapText="1"/>
    </xf>
    <xf numFmtId="0" fontId="45" fillId="0" borderId="12" xfId="0" applyFont="1" applyFill="1" applyBorder="1" applyAlignment="1">
      <alignment horizontal="left" vertical="center" wrapText="1"/>
    </xf>
    <xf numFmtId="0" fontId="46" fillId="0" borderId="34" xfId="0" applyFont="1" applyBorder="1" applyAlignment="1">
      <alignment horizontal="left"/>
    </xf>
    <xf numFmtId="0" fontId="67" fillId="34" borderId="33" xfId="0" applyFont="1" applyFill="1" applyBorder="1" applyAlignment="1">
      <alignment horizontal="left" vertical="center" wrapText="1"/>
    </xf>
    <xf numFmtId="0" fontId="46" fillId="0" borderId="33" xfId="0" applyFont="1" applyBorder="1" applyAlignment="1">
      <alignment horizontal="left"/>
    </xf>
    <xf numFmtId="0" fontId="45" fillId="0" borderId="12" xfId="0" applyFont="1" applyBorder="1" applyAlignment="1">
      <alignment horizontal="left"/>
    </xf>
    <xf numFmtId="0" fontId="45" fillId="37" borderId="12" xfId="0" applyFont="1" applyFill="1" applyBorder="1" applyAlignment="1">
      <alignment horizontal="left" vertical="center" wrapText="1"/>
    </xf>
    <xf numFmtId="0" fontId="67" fillId="34" borderId="35" xfId="0" applyFont="1" applyFill="1" applyBorder="1" applyAlignment="1">
      <alignment horizontal="left" vertical="center" wrapText="1"/>
    </xf>
    <xf numFmtId="0" fontId="45" fillId="35" borderId="35" xfId="0" applyFont="1" applyFill="1" applyBorder="1" applyAlignment="1">
      <alignment horizontal="left" vertical="center" wrapText="1"/>
    </xf>
    <xf numFmtId="0" fontId="61" fillId="26" borderId="36" xfId="0" applyFont="1" applyFill="1" applyBorder="1" applyAlignment="1">
      <alignment horizontal="left" vertical="center"/>
    </xf>
    <xf numFmtId="0" fontId="46" fillId="0" borderId="37" xfId="0" applyFont="1" applyBorder="1" applyAlignment="1">
      <alignment horizontal="left" vertical="center"/>
    </xf>
    <xf numFmtId="0" fontId="45" fillId="0" borderId="37" xfId="0" applyFont="1" applyBorder="1" applyAlignment="1">
      <alignment horizontal="left" vertical="center"/>
    </xf>
    <xf numFmtId="0" fontId="61" fillId="0" borderId="37" xfId="0" applyFont="1" applyBorder="1" applyAlignment="1">
      <alignment horizontal="left" vertical="center"/>
    </xf>
    <xf numFmtId="0" fontId="46" fillId="0" borderId="38" xfId="0" applyFont="1" applyBorder="1" applyAlignment="1">
      <alignment horizontal="left" vertical="center"/>
    </xf>
    <xf numFmtId="0" fontId="61" fillId="26" borderId="27" xfId="186" applyFont="1" applyFill="1" applyBorder="1" applyAlignment="1">
      <alignment horizontal="left" vertical="center"/>
    </xf>
    <xf numFmtId="0" fontId="45" fillId="0" borderId="18" xfId="0" applyFont="1" applyFill="1" applyBorder="1" applyAlignment="1">
      <alignment vertical="center" wrapText="1"/>
    </xf>
    <xf numFmtId="0" fontId="45" fillId="0" borderId="25" xfId="0" applyFont="1" applyFill="1" applyBorder="1" applyAlignment="1">
      <alignment vertical="center" wrapText="1"/>
    </xf>
    <xf numFmtId="3" fontId="49" fillId="0" borderId="15" xfId="0" applyNumberFormat="1" applyFont="1" applyFill="1" applyBorder="1" applyAlignment="1">
      <alignment horizontal="center" vertical="center"/>
    </xf>
    <xf numFmtId="3" fontId="49" fillId="0" borderId="14" xfId="0" applyNumberFormat="1" applyFont="1" applyFill="1" applyBorder="1" applyAlignment="1">
      <alignment horizontal="center" vertical="center"/>
    </xf>
    <xf numFmtId="3" fontId="49" fillId="0" borderId="0" xfId="0" applyNumberFormat="1" applyFont="1" applyFill="1" applyBorder="1" applyAlignment="1">
      <alignment horizontal="center" vertical="center" wrapText="1"/>
    </xf>
    <xf numFmtId="3" fontId="48" fillId="37" borderId="0" xfId="0" applyNumberFormat="1" applyFont="1" applyFill="1" applyBorder="1" applyAlignment="1">
      <alignment horizontal="center" vertical="center" wrapText="1"/>
    </xf>
    <xf numFmtId="3" fontId="48" fillId="0" borderId="0" xfId="0" applyNumberFormat="1" applyFont="1" applyFill="1" applyBorder="1" applyAlignment="1">
      <alignment horizontal="center" vertical="center" wrapText="1"/>
    </xf>
    <xf numFmtId="3" fontId="48" fillId="37" borderId="30" xfId="0" applyNumberFormat="1" applyFont="1" applyFill="1" applyBorder="1" applyAlignment="1">
      <alignment horizontal="center" vertical="center" wrapText="1"/>
    </xf>
    <xf numFmtId="3" fontId="48" fillId="0" borderId="30" xfId="0" applyNumberFormat="1" applyFont="1" applyFill="1" applyBorder="1" applyAlignment="1">
      <alignment horizontal="center" vertical="center" wrapText="1"/>
    </xf>
    <xf numFmtId="0" fontId="48" fillId="0" borderId="18" xfId="0" applyFont="1" applyFill="1" applyBorder="1" applyAlignment="1">
      <alignment horizontal="left" vertical="center" indent="4"/>
    </xf>
    <xf numFmtId="0" fontId="48" fillId="0" borderId="19" xfId="0" applyFont="1" applyFill="1" applyBorder="1" applyAlignment="1">
      <alignment horizontal="left" vertical="center" indent="4"/>
    </xf>
    <xf numFmtId="0" fontId="48" fillId="0" borderId="21" xfId="0" applyFont="1" applyFill="1" applyBorder="1" applyAlignment="1">
      <alignment horizontal="left" vertical="center"/>
    </xf>
    <xf numFmtId="0" fontId="48" fillId="0" borderId="18" xfId="0" applyFont="1" applyFill="1" applyBorder="1" applyAlignment="1">
      <alignment horizontal="left" vertical="center" indent="2"/>
    </xf>
    <xf numFmtId="0" fontId="48" fillId="0" borderId="25" xfId="0" applyFont="1" applyFill="1" applyBorder="1" applyAlignment="1">
      <alignment horizontal="left" vertical="center" indent="2"/>
    </xf>
    <xf numFmtId="3" fontId="48" fillId="0" borderId="15" xfId="0" applyNumberFormat="1" applyFont="1" applyFill="1" applyBorder="1" applyAlignment="1">
      <alignment horizontal="center" vertical="center"/>
    </xf>
    <xf numFmtId="0" fontId="94" fillId="0" borderId="0" xfId="0" applyFont="1" applyFill="1" applyBorder="1" applyAlignment="1">
      <alignment horizontal="center" vertical="center" wrapText="1"/>
    </xf>
    <xf numFmtId="0" fontId="46" fillId="26" borderId="29" xfId="0" applyFont="1" applyFill="1" applyBorder="1" applyAlignment="1">
      <alignment horizontal="center" vertical="center" wrapText="1"/>
    </xf>
    <xf numFmtId="0" fontId="83" fillId="0" borderId="0" xfId="0" applyFont="1" applyFill="1" applyBorder="1" applyAlignment="1">
      <alignment horizontal="center" vertical="center" wrapText="1"/>
    </xf>
    <xf numFmtId="0" fontId="45" fillId="37" borderId="0" xfId="0" applyFont="1" applyFill="1" applyBorder="1" applyAlignment="1">
      <alignment vertical="center"/>
    </xf>
    <xf numFmtId="0" fontId="62" fillId="37" borderId="0" xfId="184" applyFont="1" applyFill="1" applyAlignment="1" applyProtection="1">
      <alignment vertical="center"/>
    </xf>
    <xf numFmtId="0" fontId="46" fillId="37" borderId="0" xfId="0" applyFont="1" applyFill="1" applyBorder="1" applyAlignment="1">
      <alignment vertical="center"/>
    </xf>
    <xf numFmtId="3" fontId="46" fillId="37" borderId="0" xfId="0" applyNumberFormat="1" applyFont="1" applyFill="1" applyBorder="1" applyAlignment="1">
      <alignment vertical="center"/>
    </xf>
    <xf numFmtId="173" fontId="96" fillId="26" borderId="39" xfId="186" applyNumberFormat="1" applyFont="1" applyFill="1" applyBorder="1" applyAlignment="1">
      <alignment horizontal="center" vertical="center" wrapText="1"/>
    </xf>
    <xf numFmtId="173" fontId="49" fillId="26" borderId="39" xfId="186" applyNumberFormat="1" applyFont="1" applyFill="1" applyBorder="1" applyAlignment="1">
      <alignment horizontal="center" vertical="center" wrapText="1"/>
    </xf>
    <xf numFmtId="0" fontId="0" fillId="37" borderId="0" xfId="0" applyFill="1"/>
    <xf numFmtId="173" fontId="88" fillId="39" borderId="0" xfId="186" applyNumberFormat="1" applyFont="1" applyFill="1" applyBorder="1" applyAlignment="1">
      <alignment horizontal="left" vertical="center" wrapText="1"/>
    </xf>
    <xf numFmtId="173" fontId="53" fillId="39" borderId="0" xfId="186" applyNumberFormat="1" applyFont="1" applyFill="1" applyBorder="1" applyAlignment="1">
      <alignment horizontal="center" vertical="center" wrapText="1"/>
    </xf>
    <xf numFmtId="179" fontId="53" fillId="37" borderId="40" xfId="186" applyNumberFormat="1" applyFont="1" applyFill="1" applyBorder="1" applyAlignment="1">
      <alignment horizontal="left" vertical="center" wrapText="1"/>
    </xf>
    <xf numFmtId="0" fontId="0" fillId="37" borderId="40" xfId="0" applyFill="1" applyBorder="1"/>
    <xf numFmtId="179" fontId="54" fillId="37" borderId="0" xfId="186" applyNumberFormat="1" applyFont="1" applyFill="1" applyBorder="1" applyAlignment="1">
      <alignment horizontal="left" vertical="center" wrapText="1"/>
    </xf>
    <xf numFmtId="3" fontId="90" fillId="37" borderId="0" xfId="186" applyNumberFormat="1" applyFont="1" applyFill="1" applyBorder="1" applyAlignment="1">
      <alignment horizontal="center"/>
    </xf>
    <xf numFmtId="179" fontId="53" fillId="37" borderId="0" xfId="186" applyNumberFormat="1" applyFont="1" applyFill="1" applyBorder="1" applyAlignment="1">
      <alignment horizontal="left" vertical="center" wrapText="1"/>
    </xf>
    <xf numFmtId="169" fontId="87" fillId="37" borderId="0" xfId="132" applyNumberFormat="1" applyFont="1" applyFill="1" applyBorder="1" applyAlignment="1">
      <alignment horizontal="center"/>
    </xf>
    <xf numFmtId="0" fontId="52" fillId="0" borderId="12" xfId="0" applyFont="1" applyBorder="1" applyAlignment="1">
      <alignment horizontal="left" vertical="center" wrapText="1"/>
    </xf>
    <xf numFmtId="0" fontId="83" fillId="0" borderId="0" xfId="0" applyFont="1" applyFill="1" applyBorder="1" applyAlignment="1">
      <alignment horizontal="center" vertical="center" wrapText="1"/>
    </xf>
    <xf numFmtId="173" fontId="49" fillId="26" borderId="28" xfId="0" applyNumberFormat="1" applyFont="1" applyFill="1" applyBorder="1" applyAlignment="1">
      <alignment horizontal="center" vertical="center"/>
    </xf>
    <xf numFmtId="0" fontId="90" fillId="0" borderId="28" xfId="0" applyFont="1" applyFill="1" applyBorder="1" applyAlignment="1">
      <alignment horizontal="left" vertical="center" indent="2"/>
    </xf>
    <xf numFmtId="3" fontId="48" fillId="0" borderId="29" xfId="0" applyNumberFormat="1" applyFont="1" applyFill="1" applyBorder="1" applyAlignment="1">
      <alignment horizontal="center" vertical="center" wrapText="1"/>
    </xf>
    <xf numFmtId="0" fontId="83" fillId="0" borderId="0" xfId="0" applyFont="1" applyFill="1" applyBorder="1" applyAlignment="1">
      <alignment horizontal="center" vertical="center" wrapText="1"/>
    </xf>
    <xf numFmtId="0" fontId="83" fillId="0" borderId="0" xfId="0" applyFont="1" applyFill="1" applyBorder="1" applyAlignment="1">
      <alignment horizontal="center" vertical="center" wrapText="1"/>
    </xf>
    <xf numFmtId="0" fontId="95" fillId="37" borderId="12" xfId="0" applyFont="1" applyFill="1" applyBorder="1" applyAlignment="1">
      <alignment horizontal="left" vertical="center" wrapText="1" indent="3"/>
    </xf>
    <xf numFmtId="0" fontId="83" fillId="0" borderId="0" xfId="0" applyFont="1" applyFill="1" applyBorder="1" applyAlignment="1">
      <alignment horizontal="center" vertical="center" wrapText="1"/>
    </xf>
    <xf numFmtId="0" fontId="83" fillId="0" borderId="0" xfId="0" applyFont="1" applyFill="1" applyBorder="1" applyAlignment="1">
      <alignment horizontal="center" vertical="center" wrapText="1"/>
    </xf>
    <xf numFmtId="3" fontId="48" fillId="37" borderId="13" xfId="0" applyNumberFormat="1" applyFont="1" applyFill="1" applyBorder="1" applyAlignment="1">
      <alignment horizontal="center"/>
    </xf>
    <xf numFmtId="0" fontId="70" fillId="37" borderId="12" xfId="186" applyFont="1" applyFill="1" applyBorder="1"/>
    <xf numFmtId="0" fontId="46" fillId="37" borderId="12" xfId="186" applyFont="1" applyFill="1" applyBorder="1"/>
    <xf numFmtId="0" fontId="45" fillId="37" borderId="12" xfId="186" applyFont="1" applyFill="1" applyBorder="1"/>
    <xf numFmtId="0" fontId="46" fillId="37" borderId="26" xfId="186" applyFont="1" applyFill="1" applyBorder="1"/>
    <xf numFmtId="0" fontId="71" fillId="37" borderId="0" xfId="186" applyFont="1" applyFill="1" applyBorder="1"/>
    <xf numFmtId="9" fontId="71" fillId="37" borderId="0" xfId="132" applyFont="1" applyFill="1" applyAlignment="1">
      <alignment horizontal="left" vertical="center"/>
    </xf>
    <xf numFmtId="0" fontId="45" fillId="37" borderId="12" xfId="186" applyFont="1" applyFill="1" applyBorder="1" applyAlignment="1">
      <alignment horizontal="left" vertical="center"/>
    </xf>
    <xf numFmtId="0" fontId="46" fillId="37" borderId="12" xfId="186" applyFont="1" applyFill="1" applyBorder="1" applyAlignment="1">
      <alignment horizontal="left" vertical="center"/>
    </xf>
    <xf numFmtId="0" fontId="48" fillId="37" borderId="12" xfId="186" applyFont="1" applyFill="1" applyBorder="1"/>
    <xf numFmtId="0" fontId="46" fillId="34" borderId="0" xfId="0" applyFont="1" applyFill="1" applyBorder="1" applyAlignment="1">
      <alignment horizontal="left" vertical="center" wrapText="1" indent="1"/>
    </xf>
    <xf numFmtId="0" fontId="83" fillId="0" borderId="0" xfId="0" applyFont="1" applyFill="1" applyBorder="1" applyAlignment="1">
      <alignment horizontal="center" vertical="center" wrapText="1"/>
    </xf>
    <xf numFmtId="3" fontId="49" fillId="37" borderId="13" xfId="0" applyNumberFormat="1" applyFont="1" applyFill="1" applyBorder="1" applyAlignment="1">
      <alignment horizontal="center"/>
    </xf>
    <xf numFmtId="0" fontId="46" fillId="0" borderId="42" xfId="0" applyFont="1" applyBorder="1" applyAlignment="1">
      <alignment horizontal="center" vertical="center"/>
    </xf>
    <xf numFmtId="173" fontId="46" fillId="26" borderId="41" xfId="0" applyNumberFormat="1" applyFont="1" applyFill="1" applyBorder="1" applyAlignment="1">
      <alignment horizontal="center" vertical="center" wrapText="1"/>
    </xf>
    <xf numFmtId="173" fontId="49" fillId="26" borderId="41" xfId="186" applyNumberFormat="1" applyFont="1" applyFill="1" applyBorder="1" applyAlignment="1">
      <alignment horizontal="center" vertical="center" wrapText="1"/>
    </xf>
    <xf numFmtId="0" fontId="94" fillId="37" borderId="0" xfId="0" applyFont="1" applyFill="1" applyBorder="1" applyAlignment="1">
      <alignment horizontal="center" vertical="center" wrapText="1"/>
    </xf>
    <xf numFmtId="0" fontId="94" fillId="37" borderId="30" xfId="0" applyFont="1" applyFill="1" applyBorder="1" applyAlignment="1">
      <alignment horizontal="center" vertical="center" wrapText="1"/>
    </xf>
    <xf numFmtId="0" fontId="94" fillId="37" borderId="13" xfId="0" applyFont="1" applyFill="1" applyBorder="1" applyAlignment="1">
      <alignment horizontal="center" vertical="center" wrapText="1"/>
    </xf>
    <xf numFmtId="3" fontId="48" fillId="39" borderId="17" xfId="0" applyNumberFormat="1" applyFont="1" applyFill="1" applyBorder="1" applyAlignment="1">
      <alignment horizontal="center" vertical="center"/>
    </xf>
    <xf numFmtId="3" fontId="48" fillId="39" borderId="47" xfId="0" applyNumberFormat="1" applyFont="1" applyFill="1" applyBorder="1" applyAlignment="1">
      <alignment horizontal="center" vertical="center"/>
    </xf>
    <xf numFmtId="3" fontId="48" fillId="37" borderId="13" xfId="0" applyNumberFormat="1" applyFont="1" applyFill="1" applyBorder="1" applyAlignment="1">
      <alignment horizontal="center" vertical="center"/>
    </xf>
    <xf numFmtId="3" fontId="49" fillId="37" borderId="13" xfId="0" applyNumberFormat="1" applyFont="1" applyFill="1" applyBorder="1" applyAlignment="1">
      <alignment horizontal="center" vertical="center"/>
    </xf>
    <xf numFmtId="3" fontId="49" fillId="39" borderId="17" xfId="186" applyNumberFormat="1" applyFont="1" applyFill="1" applyBorder="1" applyAlignment="1">
      <alignment horizontal="center"/>
    </xf>
    <xf numFmtId="3" fontId="48" fillId="39" borderId="17" xfId="186" applyNumberFormat="1" applyFont="1" applyFill="1" applyBorder="1" applyAlignment="1">
      <alignment horizontal="center"/>
    </xf>
    <xf numFmtId="3" fontId="49" fillId="37" borderId="13" xfId="186" applyNumberFormat="1" applyFont="1" applyFill="1" applyBorder="1" applyAlignment="1">
      <alignment horizontal="center"/>
    </xf>
    <xf numFmtId="3" fontId="48" fillId="37" borderId="13" xfId="186" applyNumberFormat="1" applyFont="1" applyFill="1" applyBorder="1" applyAlignment="1">
      <alignment horizontal="center"/>
    </xf>
    <xf numFmtId="169" fontId="49" fillId="39" borderId="17" xfId="132" applyNumberFormat="1" applyFont="1" applyFill="1" applyBorder="1" applyAlignment="1">
      <alignment horizontal="center"/>
    </xf>
    <xf numFmtId="169" fontId="48" fillId="39" borderId="17" xfId="132" applyNumberFormat="1" applyFont="1" applyFill="1" applyBorder="1" applyAlignment="1">
      <alignment horizontal="center"/>
    </xf>
    <xf numFmtId="169" fontId="49" fillId="39" borderId="45" xfId="132" applyNumberFormat="1" applyFont="1" applyFill="1" applyBorder="1" applyAlignment="1">
      <alignment horizontal="center"/>
    </xf>
    <xf numFmtId="169" fontId="49" fillId="37" borderId="13" xfId="132" applyNumberFormat="1" applyFont="1" applyFill="1" applyBorder="1" applyAlignment="1">
      <alignment horizontal="center"/>
    </xf>
    <xf numFmtId="169" fontId="48" fillId="37" borderId="13" xfId="132" applyNumberFormat="1" applyFont="1" applyFill="1" applyBorder="1" applyAlignment="1">
      <alignment horizontal="center"/>
    </xf>
    <xf numFmtId="3" fontId="46" fillId="37" borderId="13" xfId="0" applyNumberFormat="1" applyFont="1" applyFill="1" applyBorder="1" applyAlignment="1">
      <alignment horizontal="center" vertical="center"/>
    </xf>
    <xf numFmtId="3" fontId="46" fillId="39" borderId="17" xfId="0" applyNumberFormat="1" applyFont="1" applyFill="1" applyBorder="1" applyAlignment="1">
      <alignment horizontal="center" vertical="center"/>
    </xf>
    <xf numFmtId="3" fontId="45" fillId="37" borderId="13" xfId="67" applyNumberFormat="1" applyFont="1" applyFill="1" applyBorder="1" applyAlignment="1">
      <alignment horizontal="center" vertical="center"/>
    </xf>
    <xf numFmtId="0" fontId="80" fillId="0" borderId="0" xfId="0" applyFont="1" applyFill="1" applyBorder="1" applyAlignment="1">
      <alignment horizontal="left" vertical="top" wrapText="1"/>
    </xf>
    <xf numFmtId="0" fontId="60" fillId="0" borderId="0" xfId="0" applyFont="1" applyFill="1" applyBorder="1" applyAlignment="1">
      <alignment horizontal="left" vertical="top" wrapText="1"/>
    </xf>
    <xf numFmtId="9" fontId="46" fillId="0" borderId="0" xfId="132" applyFont="1" applyBorder="1" applyAlignment="1">
      <alignment vertical="center"/>
    </xf>
    <xf numFmtId="3" fontId="46" fillId="0" borderId="0" xfId="0" applyNumberFormat="1" applyFont="1" applyBorder="1" applyAlignment="1">
      <alignment vertical="center"/>
    </xf>
    <xf numFmtId="1" fontId="46" fillId="0" borderId="0" xfId="0" applyNumberFormat="1" applyFont="1" applyBorder="1" applyAlignment="1">
      <alignment vertical="center"/>
    </xf>
    <xf numFmtId="1" fontId="45" fillId="42" borderId="0" xfId="0" applyNumberFormat="1" applyFont="1" applyFill="1" applyBorder="1" applyAlignment="1">
      <alignment horizontal="center" vertical="center" wrapText="1"/>
    </xf>
    <xf numFmtId="10" fontId="47" fillId="0" borderId="0" xfId="132" applyNumberFormat="1" applyFont="1" applyFill="1" applyAlignment="1">
      <alignment horizontal="left" vertical="center"/>
    </xf>
    <xf numFmtId="0" fontId="97" fillId="0" borderId="0" xfId="0" applyFont="1" applyBorder="1" applyAlignment="1">
      <alignment horizontal="left" vertical="center" wrapText="1"/>
    </xf>
    <xf numFmtId="0" fontId="68" fillId="0" borderId="0" xfId="0" applyFont="1" applyBorder="1" applyAlignment="1">
      <alignment horizontal="left" vertical="center" wrapText="1"/>
    </xf>
    <xf numFmtId="0" fontId="0" fillId="0" borderId="0" xfId="0" applyAlignment="1">
      <alignment vertical="center"/>
    </xf>
    <xf numFmtId="1" fontId="45" fillId="0" borderId="0" xfId="0" applyNumberFormat="1" applyFont="1" applyFill="1" applyBorder="1" applyAlignment="1">
      <alignment horizontal="center" vertical="center"/>
    </xf>
    <xf numFmtId="1" fontId="52" fillId="0" borderId="0" xfId="132" applyNumberFormat="1" applyFont="1" applyFill="1" applyBorder="1" applyAlignment="1">
      <alignment horizontal="center" vertical="center"/>
    </xf>
    <xf numFmtId="1" fontId="46" fillId="0" borderId="15" xfId="0" applyNumberFormat="1" applyFont="1" applyBorder="1" applyAlignment="1">
      <alignment horizontal="left"/>
    </xf>
    <xf numFmtId="1" fontId="45" fillId="0" borderId="0" xfId="132" applyNumberFormat="1" applyFont="1" applyFill="1" applyBorder="1" applyAlignment="1">
      <alignment horizontal="center" vertical="center"/>
    </xf>
    <xf numFmtId="0" fontId="52" fillId="26" borderId="29" xfId="0" applyFont="1" applyFill="1" applyBorder="1" applyAlignment="1">
      <alignment vertical="center"/>
    </xf>
    <xf numFmtId="0" fontId="45" fillId="0" borderId="0" xfId="0" applyFont="1" applyBorder="1" applyAlignment="1">
      <alignment horizontal="left" vertical="center" wrapText="1"/>
    </xf>
    <xf numFmtId="0" fontId="52" fillId="0" borderId="0" xfId="0" applyFont="1" applyBorder="1" applyAlignment="1">
      <alignment horizontal="left" vertical="center" wrapText="1"/>
    </xf>
    <xf numFmtId="0" fontId="45" fillId="0" borderId="0" xfId="0" applyFont="1" applyFill="1" applyBorder="1" applyAlignment="1">
      <alignment horizontal="left" vertical="center" wrapText="1"/>
    </xf>
    <xf numFmtId="0" fontId="45" fillId="0" borderId="51" xfId="0" applyFont="1" applyBorder="1" applyAlignment="1">
      <alignment horizontal="left" vertical="center" wrapText="1"/>
    </xf>
    <xf numFmtId="0" fontId="45" fillId="0" borderId="15" xfId="0" applyFont="1" applyBorder="1" applyAlignment="1">
      <alignment horizontal="left" vertical="center" wrapText="1"/>
    </xf>
    <xf numFmtId="0" fontId="45" fillId="43" borderId="33" xfId="0" applyFont="1" applyFill="1" applyBorder="1" applyAlignment="1">
      <alignment horizontal="left" vertical="center" wrapText="1"/>
    </xf>
    <xf numFmtId="0" fontId="67" fillId="37" borderId="14" xfId="0" applyFont="1" applyFill="1" applyBorder="1" applyAlignment="1">
      <alignment horizontal="left" vertical="center" wrapText="1"/>
    </xf>
    <xf numFmtId="0" fontId="52" fillId="26" borderId="52" xfId="0" applyFont="1" applyFill="1" applyBorder="1" applyAlignment="1">
      <alignment vertical="center"/>
    </xf>
    <xf numFmtId="0" fontId="46" fillId="26" borderId="53" xfId="0" applyFont="1" applyFill="1" applyBorder="1" applyAlignment="1">
      <alignment horizontal="center" vertical="center" wrapText="1"/>
    </xf>
    <xf numFmtId="0" fontId="46" fillId="26" borderId="54" xfId="0" applyFont="1" applyFill="1" applyBorder="1" applyAlignment="1">
      <alignment horizontal="center" vertical="center" wrapText="1"/>
    </xf>
    <xf numFmtId="0" fontId="45" fillId="37" borderId="56" xfId="0" applyFont="1" applyFill="1" applyBorder="1" applyAlignment="1">
      <alignment horizontal="left" vertical="center" wrapText="1"/>
    </xf>
    <xf numFmtId="0" fontId="45" fillId="37" borderId="57" xfId="0" applyFont="1" applyFill="1" applyBorder="1" applyAlignment="1">
      <alignment horizontal="left" vertical="center" wrapText="1"/>
    </xf>
    <xf numFmtId="0" fontId="46" fillId="42" borderId="58" xfId="0" applyFont="1" applyFill="1" applyBorder="1" applyAlignment="1">
      <alignment horizontal="left" vertical="center" wrapText="1"/>
    </xf>
    <xf numFmtId="0" fontId="46" fillId="0" borderId="12" xfId="0" applyFont="1" applyBorder="1" applyAlignment="1">
      <alignment horizontal="left" vertical="center" wrapText="1"/>
    </xf>
    <xf numFmtId="1" fontId="46" fillId="42" borderId="14" xfId="0" applyNumberFormat="1" applyFont="1" applyFill="1" applyBorder="1" applyAlignment="1">
      <alignment horizontal="center" vertical="center" wrapText="1"/>
    </xf>
    <xf numFmtId="3" fontId="45" fillId="37" borderId="0" xfId="0" applyNumberFormat="1" applyFont="1" applyFill="1" applyBorder="1" applyAlignment="1">
      <alignment horizontal="center" vertical="center"/>
    </xf>
    <xf numFmtId="0" fontId="46" fillId="26" borderId="59" xfId="0" applyFont="1" applyFill="1" applyBorder="1" applyAlignment="1">
      <alignment horizontal="center" vertical="center" wrapText="1"/>
    </xf>
    <xf numFmtId="3" fontId="45" fillId="39" borderId="60" xfId="0" applyNumberFormat="1" applyFont="1" applyFill="1" applyBorder="1" applyAlignment="1">
      <alignment horizontal="center" vertical="center"/>
    </xf>
    <xf numFmtId="0" fontId="46" fillId="26" borderId="61" xfId="0" applyFont="1" applyFill="1" applyBorder="1" applyAlignment="1">
      <alignment horizontal="center" vertical="center" wrapText="1"/>
    </xf>
    <xf numFmtId="0" fontId="46" fillId="42" borderId="62" xfId="0" applyFont="1" applyFill="1" applyBorder="1" applyAlignment="1">
      <alignment horizontal="left" vertical="center" wrapText="1"/>
    </xf>
    <xf numFmtId="3" fontId="45" fillId="44" borderId="60" xfId="0" applyNumberFormat="1" applyFont="1" applyFill="1" applyBorder="1" applyAlignment="1">
      <alignment horizontal="center" vertical="center"/>
    </xf>
    <xf numFmtId="1" fontId="46" fillId="42" borderId="0" xfId="0" applyNumberFormat="1" applyFont="1" applyFill="1" applyBorder="1" applyAlignment="1">
      <alignment horizontal="center" vertical="center" wrapText="1"/>
    </xf>
    <xf numFmtId="0" fontId="46" fillId="42" borderId="63" xfId="0" applyFont="1" applyFill="1" applyBorder="1" applyAlignment="1">
      <alignment horizontal="left" vertical="center" wrapText="1"/>
    </xf>
    <xf numFmtId="1" fontId="46" fillId="42" borderId="64" xfId="0" applyNumberFormat="1" applyFont="1" applyFill="1" applyBorder="1" applyAlignment="1">
      <alignment horizontal="center" vertical="center" wrapText="1"/>
    </xf>
    <xf numFmtId="0" fontId="46" fillId="42" borderId="56" xfId="0" applyFont="1" applyFill="1" applyBorder="1" applyAlignment="1">
      <alignment horizontal="left" vertical="center" wrapText="1"/>
    </xf>
    <xf numFmtId="0" fontId="46" fillId="42" borderId="57" xfId="0" applyFont="1" applyFill="1" applyBorder="1" applyAlignment="1">
      <alignment horizontal="left" vertical="center" wrapText="1"/>
    </xf>
    <xf numFmtId="0" fontId="46" fillId="42" borderId="55" xfId="0" applyFont="1" applyFill="1" applyBorder="1" applyAlignment="1">
      <alignment horizontal="left" vertical="center" wrapText="1"/>
    </xf>
    <xf numFmtId="1" fontId="46" fillId="42" borderId="51" xfId="0" applyNumberFormat="1" applyFont="1" applyFill="1" applyBorder="1" applyAlignment="1">
      <alignment horizontal="center" vertical="center" wrapText="1"/>
    </xf>
    <xf numFmtId="0" fontId="45" fillId="37" borderId="58" xfId="186" applyFont="1" applyFill="1" applyBorder="1" applyAlignment="1">
      <alignment horizontal="left" vertical="center"/>
    </xf>
    <xf numFmtId="3" fontId="48" fillId="0" borderId="40" xfId="186" applyNumberFormat="1" applyFont="1" applyFill="1" applyBorder="1" applyAlignment="1">
      <alignment horizontal="center"/>
    </xf>
    <xf numFmtId="3" fontId="48" fillId="39" borderId="47" xfId="186" applyNumberFormat="1" applyFont="1" applyFill="1" applyBorder="1" applyAlignment="1">
      <alignment horizontal="center"/>
    </xf>
    <xf numFmtId="169" fontId="87" fillId="37" borderId="85" xfId="132" applyNumberFormat="1" applyFont="1" applyFill="1" applyBorder="1" applyAlignment="1">
      <alignment horizontal="center"/>
    </xf>
    <xf numFmtId="3" fontId="90" fillId="37" borderId="85" xfId="186" applyNumberFormat="1" applyFont="1" applyFill="1" applyBorder="1" applyAlignment="1">
      <alignment horizontal="center"/>
    </xf>
    <xf numFmtId="173" fontId="49" fillId="26" borderId="84" xfId="186" applyNumberFormat="1" applyFont="1" applyFill="1" applyBorder="1" applyAlignment="1">
      <alignment horizontal="center" vertical="center" wrapText="1"/>
    </xf>
    <xf numFmtId="3" fontId="45" fillId="39" borderId="81" xfId="0" applyNumberFormat="1" applyFont="1" applyFill="1" applyBorder="1" applyAlignment="1">
      <alignment horizontal="center" vertical="center"/>
    </xf>
    <xf numFmtId="0" fontId="50" fillId="52" borderId="0" xfId="68" applyFont="1" applyFill="1"/>
    <xf numFmtId="0" fontId="47" fillId="52" borderId="0" xfId="68" applyFont="1" applyFill="1"/>
    <xf numFmtId="3" fontId="48" fillId="39" borderId="45" xfId="186" applyNumberFormat="1" applyFont="1" applyFill="1" applyBorder="1" applyAlignment="1">
      <alignment horizontal="center"/>
    </xf>
    <xf numFmtId="3" fontId="48" fillId="0" borderId="30" xfId="186" applyNumberFormat="1" applyFont="1" applyFill="1" applyBorder="1" applyAlignment="1">
      <alignment horizontal="center"/>
    </xf>
    <xf numFmtId="0" fontId="45" fillId="37" borderId="26" xfId="186" applyFont="1" applyFill="1" applyBorder="1" applyAlignment="1">
      <alignment horizontal="left" vertical="center"/>
    </xf>
    <xf numFmtId="3" fontId="48" fillId="37" borderId="0" xfId="186" applyNumberFormat="1" applyFont="1" applyFill="1" applyBorder="1" applyAlignment="1">
      <alignment horizontal="center"/>
    </xf>
    <xf numFmtId="1" fontId="46" fillId="37" borderId="0" xfId="132" applyNumberFormat="1" applyFont="1" applyFill="1" applyBorder="1" applyAlignment="1">
      <alignment horizontal="center" vertical="center" wrapText="1"/>
    </xf>
    <xf numFmtId="0" fontId="67" fillId="37" borderId="0" xfId="0" applyFont="1" applyFill="1" applyBorder="1" applyAlignment="1">
      <alignment horizontal="left" vertical="center" wrapText="1"/>
    </xf>
    <xf numFmtId="0" fontId="0" fillId="37" borderId="85" xfId="0" applyFill="1" applyBorder="1"/>
    <xf numFmtId="0" fontId="61" fillId="26" borderId="79" xfId="0" applyFont="1" applyFill="1" applyBorder="1" applyAlignment="1">
      <alignment horizontal="left" vertical="center"/>
    </xf>
    <xf numFmtId="173" fontId="53" fillId="39" borderId="85" xfId="186" applyNumberFormat="1" applyFont="1" applyFill="1" applyBorder="1" applyAlignment="1">
      <alignment horizontal="center" vertical="center" wrapText="1"/>
    </xf>
    <xf numFmtId="0" fontId="56" fillId="52" borderId="0" xfId="68" applyFont="1" applyFill="1" applyAlignment="1">
      <alignment vertical="center" textRotation="90"/>
    </xf>
    <xf numFmtId="0" fontId="0" fillId="37" borderId="86" xfId="0" applyFill="1" applyBorder="1"/>
    <xf numFmtId="3" fontId="46" fillId="0" borderId="0" xfId="67" applyNumberFormat="1" applyFont="1" applyFill="1" applyBorder="1" applyAlignment="1">
      <alignment horizontal="center" vertical="center"/>
    </xf>
    <xf numFmtId="3" fontId="46" fillId="0" borderId="87" xfId="67" applyNumberFormat="1" applyFont="1" applyFill="1" applyBorder="1" applyAlignment="1">
      <alignment horizontal="center" vertical="center"/>
    </xf>
    <xf numFmtId="3" fontId="45" fillId="37" borderId="13" xfId="0" applyNumberFormat="1" applyFont="1" applyFill="1" applyBorder="1" applyAlignment="1">
      <alignment horizontal="center" vertical="center"/>
    </xf>
    <xf numFmtId="3" fontId="45" fillId="39" borderId="17" xfId="0" applyNumberFormat="1" applyFont="1" applyFill="1" applyBorder="1" applyAlignment="1">
      <alignment horizontal="center" vertical="center"/>
    </xf>
    <xf numFmtId="173" fontId="49" fillId="26" borderId="88" xfId="186" applyNumberFormat="1" applyFont="1" applyFill="1" applyBorder="1" applyAlignment="1">
      <alignment horizontal="center" vertical="center" wrapText="1"/>
    </xf>
    <xf numFmtId="3" fontId="49" fillId="37" borderId="0" xfId="186" applyNumberFormat="1" applyFont="1" applyFill="1" applyBorder="1" applyAlignment="1">
      <alignment horizontal="center"/>
    </xf>
    <xf numFmtId="169" fontId="49" fillId="37" borderId="89" xfId="132" applyNumberFormat="1" applyFont="1" applyFill="1" applyBorder="1" applyAlignment="1">
      <alignment horizontal="center"/>
    </xf>
    <xf numFmtId="173" fontId="49" fillId="26" borderId="90" xfId="186" applyNumberFormat="1" applyFont="1" applyFill="1" applyBorder="1" applyAlignment="1">
      <alignment horizontal="center" vertical="center" wrapText="1"/>
    </xf>
    <xf numFmtId="3" fontId="48" fillId="37" borderId="91" xfId="186" applyNumberFormat="1" applyFont="1" applyFill="1" applyBorder="1" applyAlignment="1">
      <alignment horizontal="center"/>
    </xf>
    <xf numFmtId="3" fontId="48" fillId="37" borderId="89" xfId="186" applyNumberFormat="1" applyFont="1" applyFill="1" applyBorder="1" applyAlignment="1">
      <alignment horizontal="center"/>
    </xf>
    <xf numFmtId="3" fontId="49" fillId="37" borderId="0" xfId="0" applyNumberFormat="1" applyFont="1" applyFill="1" applyBorder="1" applyAlignment="1">
      <alignment horizontal="center" vertical="center"/>
    </xf>
    <xf numFmtId="3" fontId="49" fillId="37" borderId="14" xfId="0" applyNumberFormat="1" applyFont="1" applyFill="1" applyBorder="1" applyAlignment="1">
      <alignment horizontal="center" vertical="center"/>
    </xf>
    <xf numFmtId="3" fontId="48" fillId="37" borderId="29" xfId="0" applyNumberFormat="1" applyFont="1" applyFill="1" applyBorder="1" applyAlignment="1">
      <alignment horizontal="center" vertical="center" wrapText="1"/>
    </xf>
    <xf numFmtId="3" fontId="48" fillId="37" borderId="89" xfId="0" applyNumberFormat="1" applyFont="1" applyFill="1" applyBorder="1" applyAlignment="1">
      <alignment horizontal="center" vertical="center" wrapText="1"/>
    </xf>
    <xf numFmtId="3" fontId="49" fillId="37" borderId="15" xfId="0" applyNumberFormat="1" applyFont="1" applyFill="1" applyBorder="1" applyAlignment="1">
      <alignment horizontal="center" vertical="center"/>
    </xf>
    <xf numFmtId="3" fontId="48" fillId="37" borderId="0" xfId="0" applyNumberFormat="1" applyFont="1" applyFill="1" applyBorder="1" applyAlignment="1">
      <alignment horizontal="center" vertical="center"/>
    </xf>
    <xf numFmtId="3" fontId="48" fillId="37" borderId="15" xfId="0" applyNumberFormat="1" applyFont="1" applyFill="1" applyBorder="1" applyAlignment="1">
      <alignment horizontal="center" vertical="center"/>
    </xf>
    <xf numFmtId="3" fontId="48" fillId="37" borderId="89" xfId="0" applyNumberFormat="1" applyFont="1" applyFill="1" applyBorder="1" applyAlignment="1">
      <alignment horizontal="center" vertical="center"/>
    </xf>
    <xf numFmtId="3" fontId="48" fillId="37" borderId="91" xfId="0" applyNumberFormat="1" applyFont="1" applyFill="1" applyBorder="1" applyAlignment="1">
      <alignment horizontal="center" vertical="center"/>
    </xf>
    <xf numFmtId="173" fontId="49" fillId="26" borderId="90" xfId="0" applyNumberFormat="1" applyFont="1" applyFill="1" applyBorder="1" applyAlignment="1">
      <alignment horizontal="center" vertical="center" wrapText="1"/>
    </xf>
    <xf numFmtId="173" fontId="46" fillId="26" borderId="90" xfId="0" applyNumberFormat="1" applyFont="1" applyFill="1" applyBorder="1" applyAlignment="1">
      <alignment horizontal="center" vertical="center" wrapText="1"/>
    </xf>
    <xf numFmtId="0" fontId="94" fillId="37" borderId="89" xfId="0" applyFont="1" applyFill="1" applyBorder="1" applyAlignment="1">
      <alignment horizontal="center" vertical="center" wrapText="1"/>
    </xf>
    <xf numFmtId="0" fontId="46" fillId="26" borderId="92" xfId="0" applyFont="1" applyFill="1" applyBorder="1" applyAlignment="1">
      <alignment horizontal="center" vertical="center" wrapText="1"/>
    </xf>
    <xf numFmtId="1" fontId="45" fillId="39" borderId="17" xfId="0" applyNumberFormat="1" applyFont="1" applyFill="1" applyBorder="1" applyAlignment="1">
      <alignment horizontal="center" vertical="center"/>
    </xf>
    <xf numFmtId="1" fontId="52" fillId="39" borderId="17" xfId="0" applyNumberFormat="1" applyFont="1" applyFill="1" applyBorder="1" applyAlignment="1">
      <alignment horizontal="center" vertical="center"/>
    </xf>
    <xf numFmtId="0" fontId="46" fillId="26" borderId="90" xfId="0" applyFont="1" applyFill="1" applyBorder="1" applyAlignment="1">
      <alignment horizontal="center" vertical="center" wrapText="1"/>
    </xf>
    <xf numFmtId="0" fontId="46" fillId="26" borderId="88" xfId="0" applyFont="1" applyFill="1" applyBorder="1" applyAlignment="1">
      <alignment horizontal="center" vertical="center" wrapText="1"/>
    </xf>
    <xf numFmtId="1" fontId="45" fillId="37" borderId="13" xfId="0" applyNumberFormat="1" applyFont="1" applyFill="1" applyBorder="1" applyAlignment="1">
      <alignment horizontal="center" vertical="center"/>
    </xf>
    <xf numFmtId="1" fontId="52" fillId="37" borderId="13" xfId="0" applyNumberFormat="1" applyFont="1" applyFill="1" applyBorder="1" applyAlignment="1">
      <alignment horizontal="center" vertical="center"/>
    </xf>
    <xf numFmtId="1" fontId="46" fillId="35" borderId="42" xfId="0" applyNumberFormat="1" applyFont="1" applyFill="1" applyBorder="1" applyAlignment="1">
      <alignment horizontal="center" vertical="center" wrapText="1"/>
    </xf>
    <xf numFmtId="2" fontId="45" fillId="39" borderId="17" xfId="0" applyNumberFormat="1" applyFont="1" applyFill="1" applyBorder="1" applyAlignment="1">
      <alignment horizontal="center" vertical="center"/>
    </xf>
    <xf numFmtId="1" fontId="46" fillId="35" borderId="94" xfId="0" applyNumberFormat="1" applyFont="1" applyFill="1" applyBorder="1" applyAlignment="1">
      <alignment horizontal="center" vertical="center" wrapText="1"/>
    </xf>
    <xf numFmtId="2" fontId="46" fillId="0" borderId="46" xfId="0" applyNumberFormat="1" applyFont="1" applyBorder="1" applyAlignment="1">
      <alignment horizontal="left"/>
    </xf>
    <xf numFmtId="2" fontId="45" fillId="37" borderId="13" xfId="0" applyNumberFormat="1" applyFont="1" applyFill="1" applyBorder="1" applyAlignment="1">
      <alignment horizontal="center" vertical="center"/>
    </xf>
    <xf numFmtId="1" fontId="46" fillId="35" borderId="49" xfId="0" applyNumberFormat="1" applyFont="1" applyFill="1" applyBorder="1" applyAlignment="1">
      <alignment horizontal="center" vertical="center" wrapText="1"/>
    </xf>
    <xf numFmtId="3" fontId="45" fillId="35" borderId="95" xfId="0" applyNumberFormat="1" applyFont="1" applyFill="1" applyBorder="1" applyAlignment="1">
      <alignment horizontal="center" vertical="center" wrapText="1"/>
    </xf>
    <xf numFmtId="3" fontId="45" fillId="35" borderId="89" xfId="0" applyNumberFormat="1" applyFont="1" applyFill="1" applyBorder="1" applyAlignment="1">
      <alignment horizontal="center" vertical="center" wrapText="1"/>
    </xf>
    <xf numFmtId="0" fontId="46" fillId="0" borderId="46" xfId="0" applyFont="1" applyBorder="1" applyAlignment="1">
      <alignment horizontal="left"/>
    </xf>
    <xf numFmtId="3" fontId="46" fillId="34" borderId="42" xfId="0" applyNumberFormat="1" applyFont="1" applyFill="1" applyBorder="1" applyAlignment="1">
      <alignment horizontal="center" vertical="center" wrapText="1"/>
    </xf>
    <xf numFmtId="0" fontId="46" fillId="0" borderId="42" xfId="0" applyFont="1" applyBorder="1" applyAlignment="1">
      <alignment horizontal="left"/>
    </xf>
    <xf numFmtId="3" fontId="95" fillId="39" borderId="17" xfId="0" applyNumberFormat="1" applyFont="1" applyFill="1" applyBorder="1" applyAlignment="1">
      <alignment horizontal="center" vertical="center"/>
    </xf>
    <xf numFmtId="3" fontId="46" fillId="35" borderId="42" xfId="0" applyNumberFormat="1" applyFont="1" applyFill="1" applyBorder="1" applyAlignment="1">
      <alignment horizontal="center" vertical="center" wrapText="1"/>
    </xf>
    <xf numFmtId="3" fontId="46" fillId="34" borderId="96" xfId="0" applyNumberFormat="1" applyFont="1" applyFill="1" applyBorder="1" applyAlignment="1">
      <alignment horizontal="center" vertical="center" wrapText="1"/>
    </xf>
    <xf numFmtId="3" fontId="46" fillId="35" borderId="49" xfId="0" applyNumberFormat="1" applyFont="1" applyFill="1" applyBorder="1" applyAlignment="1">
      <alignment horizontal="center" vertical="center" wrapText="1"/>
    </xf>
    <xf numFmtId="3" fontId="46" fillId="34" borderId="49" xfId="0" applyNumberFormat="1" applyFont="1" applyFill="1" applyBorder="1" applyAlignment="1">
      <alignment horizontal="center" vertical="center" wrapText="1"/>
    </xf>
    <xf numFmtId="0" fontId="46" fillId="0" borderId="49" xfId="0" applyFont="1" applyBorder="1" applyAlignment="1">
      <alignment horizontal="center" vertical="center"/>
    </xf>
    <xf numFmtId="3" fontId="95" fillId="37" borderId="13" xfId="0" applyNumberFormat="1" applyFont="1" applyFill="1" applyBorder="1" applyAlignment="1">
      <alignment horizontal="center" vertical="center"/>
    </xf>
    <xf numFmtId="3" fontId="46" fillId="34" borderId="98" xfId="0" applyNumberFormat="1" applyFont="1" applyFill="1" applyBorder="1" applyAlignment="1">
      <alignment horizontal="center" vertical="center" wrapText="1"/>
    </xf>
    <xf numFmtId="3" fontId="45" fillId="35" borderId="99" xfId="0" applyNumberFormat="1" applyFont="1" applyFill="1" applyBorder="1" applyAlignment="1">
      <alignment horizontal="center" vertical="center" wrapText="1"/>
    </xf>
    <xf numFmtId="3" fontId="46" fillId="37" borderId="0" xfId="67" applyNumberFormat="1" applyFont="1" applyFill="1" applyBorder="1" applyAlignment="1">
      <alignment horizontal="center" vertical="center"/>
    </xf>
    <xf numFmtId="3" fontId="45" fillId="37" borderId="0" xfId="67" applyNumberFormat="1" applyFont="1" applyFill="1" applyBorder="1" applyAlignment="1">
      <alignment horizontal="center" vertical="center"/>
    </xf>
    <xf numFmtId="9" fontId="46" fillId="37" borderId="0" xfId="132" applyFont="1" applyFill="1" applyBorder="1" applyAlignment="1">
      <alignment horizontal="center" vertical="center"/>
    </xf>
    <xf numFmtId="9" fontId="46" fillId="37" borderId="0" xfId="0" applyNumberFormat="1" applyFont="1" applyFill="1" applyBorder="1" applyAlignment="1">
      <alignment horizontal="center" vertical="center"/>
    </xf>
    <xf numFmtId="9" fontId="45" fillId="37" borderId="0" xfId="0" applyNumberFormat="1" applyFont="1" applyFill="1" applyBorder="1" applyAlignment="1">
      <alignment horizontal="center" vertical="center"/>
    </xf>
    <xf numFmtId="9" fontId="51" fillId="37" borderId="31" xfId="0" applyNumberFormat="1" applyFont="1" applyFill="1" applyBorder="1" applyAlignment="1">
      <alignment horizontal="center" vertical="center"/>
    </xf>
    <xf numFmtId="173" fontId="46" fillId="26" borderId="88" xfId="0" applyNumberFormat="1" applyFont="1" applyFill="1" applyBorder="1" applyAlignment="1">
      <alignment horizontal="center" vertical="center" wrapText="1"/>
    </xf>
    <xf numFmtId="9" fontId="51" fillId="37" borderId="89" xfId="0" applyNumberFormat="1" applyFont="1" applyFill="1" applyBorder="1" applyAlignment="1">
      <alignment horizontal="center" vertical="center"/>
    </xf>
    <xf numFmtId="173" fontId="46" fillId="26" borderId="92" xfId="0" applyNumberFormat="1" applyFont="1" applyFill="1" applyBorder="1" applyAlignment="1">
      <alignment horizontal="center" vertical="center" wrapText="1"/>
    </xf>
    <xf numFmtId="3" fontId="46" fillId="37" borderId="13" xfId="67" applyNumberFormat="1" applyFont="1" applyFill="1" applyBorder="1" applyAlignment="1">
      <alignment horizontal="center" vertical="center"/>
    </xf>
    <xf numFmtId="3" fontId="49" fillId="37" borderId="0" xfId="0" applyNumberFormat="1" applyFont="1" applyFill="1" applyBorder="1" applyAlignment="1">
      <alignment horizontal="center"/>
    </xf>
    <xf numFmtId="9" fontId="45" fillId="53" borderId="18" xfId="132" applyFont="1" applyFill="1" applyBorder="1" applyAlignment="1">
      <alignment horizontal="center" vertical="center"/>
    </xf>
    <xf numFmtId="9" fontId="45" fillId="53" borderId="25" xfId="132" applyFont="1" applyFill="1" applyBorder="1" applyAlignment="1">
      <alignment horizontal="center" vertical="center"/>
    </xf>
    <xf numFmtId="0" fontId="46" fillId="42" borderId="100" xfId="0" applyFont="1" applyFill="1" applyBorder="1" applyAlignment="1">
      <alignment horizontal="left" vertical="center" wrapText="1"/>
    </xf>
    <xf numFmtId="198" fontId="62" fillId="0" borderId="0" xfId="184" applyNumberFormat="1" applyFont="1" applyAlignment="1" applyProtection="1">
      <alignment horizontal="center"/>
    </xf>
    <xf numFmtId="0" fontId="46" fillId="0" borderId="102" xfId="0" applyFont="1" applyBorder="1" applyAlignment="1">
      <alignment horizontal="left" vertical="center" wrapText="1"/>
    </xf>
    <xf numFmtId="0" fontId="46" fillId="0" borderId="79" xfId="0" applyFont="1" applyBorder="1" applyAlignment="1">
      <alignment horizontal="left" vertical="center" wrapText="1"/>
    </xf>
    <xf numFmtId="0" fontId="46" fillId="0" borderId="26" xfId="0" applyFont="1" applyBorder="1" applyAlignment="1">
      <alignment horizontal="left" vertical="center" wrapText="1"/>
    </xf>
    <xf numFmtId="0" fontId="46" fillId="0" borderId="104" xfId="0" applyFont="1" applyBorder="1" applyAlignment="1">
      <alignment horizontal="left" vertical="center" wrapText="1"/>
    </xf>
    <xf numFmtId="0" fontId="46" fillId="0" borderId="106" xfId="0" applyFont="1" applyBorder="1" applyAlignment="1">
      <alignment horizontal="left" vertical="center" wrapText="1"/>
    </xf>
    <xf numFmtId="3" fontId="46" fillId="0" borderId="31" xfId="67" applyNumberFormat="1" applyFont="1" applyFill="1" applyBorder="1" applyAlignment="1">
      <alignment horizontal="center" vertical="center"/>
    </xf>
    <xf numFmtId="3" fontId="46" fillId="0" borderId="103" xfId="67" applyNumberFormat="1" applyFont="1" applyFill="1" applyBorder="1" applyAlignment="1">
      <alignment horizontal="center" vertical="center"/>
    </xf>
    <xf numFmtId="3" fontId="46" fillId="0" borderId="88" xfId="67" applyNumberFormat="1" applyFont="1" applyFill="1" applyBorder="1" applyAlignment="1">
      <alignment horizontal="center" vertical="center"/>
    </xf>
    <xf numFmtId="3" fontId="46" fillId="0" borderId="105" xfId="0" applyNumberFormat="1" applyFont="1" applyFill="1" applyBorder="1" applyAlignment="1">
      <alignment horizontal="center" vertical="center"/>
    </xf>
    <xf numFmtId="3" fontId="46" fillId="0" borderId="89" xfId="0" applyNumberFormat="1" applyFont="1" applyFill="1" applyBorder="1" applyAlignment="1">
      <alignment horizontal="center" vertical="center"/>
    </xf>
    <xf numFmtId="3" fontId="46" fillId="0" borderId="89" xfId="67" applyNumberFormat="1" applyFont="1" applyFill="1" applyBorder="1" applyAlignment="1">
      <alignment horizontal="center" vertical="center"/>
    </xf>
    <xf numFmtId="169" fontId="46" fillId="42" borderId="89" xfId="132" applyNumberFormat="1" applyFont="1" applyFill="1" applyBorder="1" applyAlignment="1">
      <alignment horizontal="center" vertical="center" wrapText="1"/>
    </xf>
    <xf numFmtId="169" fontId="46" fillId="0" borderId="0" xfId="132" applyNumberFormat="1" applyFont="1" applyFill="1" applyBorder="1" applyAlignment="1">
      <alignment horizontal="center" vertical="center"/>
    </xf>
    <xf numFmtId="169" fontId="46" fillId="37" borderId="13" xfId="132" applyNumberFormat="1" applyFont="1" applyFill="1" applyBorder="1" applyAlignment="1">
      <alignment horizontal="center" vertical="center"/>
    </xf>
    <xf numFmtId="1" fontId="45" fillId="37" borderId="0" xfId="0" applyNumberFormat="1" applyFont="1" applyFill="1" applyBorder="1" applyAlignment="1">
      <alignment horizontal="center" vertical="center"/>
    </xf>
    <xf numFmtId="1" fontId="45" fillId="37" borderId="0" xfId="132" applyNumberFormat="1" applyFont="1" applyFill="1" applyBorder="1" applyAlignment="1">
      <alignment horizontal="center" vertical="center"/>
    </xf>
    <xf numFmtId="1" fontId="45" fillId="37" borderId="51" xfId="132" applyNumberFormat="1" applyFont="1" applyFill="1" applyBorder="1" applyAlignment="1">
      <alignment horizontal="center" vertical="center"/>
    </xf>
    <xf numFmtId="1" fontId="45" fillId="37" borderId="15" xfId="0" applyNumberFormat="1" applyFont="1" applyFill="1" applyBorder="1" applyAlignment="1">
      <alignment horizontal="center" vertical="center"/>
    </xf>
    <xf numFmtId="1" fontId="45" fillId="37" borderId="0" xfId="0" applyNumberFormat="1" applyFont="1" applyFill="1" applyAlignment="1">
      <alignment horizontal="center" vertical="center"/>
    </xf>
    <xf numFmtId="1" fontId="45" fillId="37" borderId="0" xfId="0" applyNumberFormat="1" applyFont="1" applyFill="1" applyAlignment="1">
      <alignment horizontal="center" vertical="center" wrapText="1"/>
    </xf>
    <xf numFmtId="1" fontId="52" fillId="37" borderId="0" xfId="0" applyNumberFormat="1" applyFont="1" applyFill="1" applyAlignment="1">
      <alignment horizontal="center" vertical="center"/>
    </xf>
    <xf numFmtId="1" fontId="45" fillId="42" borderId="0" xfId="0" applyNumberFormat="1" applyFont="1" applyFill="1" applyAlignment="1">
      <alignment horizontal="center" vertical="center" wrapText="1"/>
    </xf>
    <xf numFmtId="1" fontId="45" fillId="37" borderId="93" xfId="0" applyNumberFormat="1" applyFont="1" applyFill="1" applyBorder="1" applyAlignment="1">
      <alignment horizontal="center" vertical="center"/>
    </xf>
    <xf numFmtId="1" fontId="45" fillId="37" borderId="48" xfId="0" applyNumberFormat="1" applyFont="1" applyFill="1" applyBorder="1" applyAlignment="1">
      <alignment horizontal="center" vertical="center"/>
    </xf>
    <xf numFmtId="1" fontId="52" fillId="37" borderId="0" xfId="0" applyNumberFormat="1" applyFont="1" applyFill="1" applyBorder="1" applyAlignment="1">
      <alignment horizontal="center" vertical="center"/>
    </xf>
    <xf numFmtId="199" fontId="48" fillId="0" borderId="0" xfId="0" applyNumberFormat="1" applyFont="1" applyFill="1" applyBorder="1" applyAlignment="1">
      <alignment horizontal="center"/>
    </xf>
    <xf numFmtId="1" fontId="45" fillId="39" borderId="81" xfId="0" applyNumberFormat="1" applyFont="1" applyFill="1" applyBorder="1" applyAlignment="1">
      <alignment horizontal="center" vertical="center"/>
    </xf>
    <xf numFmtId="1" fontId="46" fillId="37" borderId="0" xfId="0" applyNumberFormat="1" applyFont="1" applyFill="1" applyBorder="1" applyAlignment="1">
      <alignment vertical="center"/>
    </xf>
    <xf numFmtId="1" fontId="45" fillId="39" borderId="60" xfId="132" applyNumberFormat="1" applyFont="1" applyFill="1" applyBorder="1" applyAlignment="1">
      <alignment horizontal="center" vertical="center"/>
    </xf>
    <xf numFmtId="1" fontId="45" fillId="44" borderId="60" xfId="132" applyNumberFormat="1" applyFont="1" applyFill="1" applyBorder="1" applyAlignment="1">
      <alignment horizontal="center" vertical="center"/>
    </xf>
    <xf numFmtId="1" fontId="45" fillId="39" borderId="60" xfId="0" applyNumberFormat="1" applyFont="1" applyFill="1" applyBorder="1" applyAlignment="1">
      <alignment horizontal="center" vertical="center"/>
    </xf>
    <xf numFmtId="1" fontId="45" fillId="44" borderId="60" xfId="0" applyNumberFormat="1" applyFont="1" applyFill="1" applyBorder="1" applyAlignment="1">
      <alignment horizontal="center" vertical="center"/>
    </xf>
    <xf numFmtId="1" fontId="45" fillId="39" borderId="82" xfId="0" applyNumberFormat="1" applyFont="1" applyFill="1" applyBorder="1" applyAlignment="1">
      <alignment horizontal="center" vertical="center"/>
    </xf>
    <xf numFmtId="1" fontId="45" fillId="39" borderId="83" xfId="0" applyNumberFormat="1" applyFont="1" applyFill="1" applyBorder="1" applyAlignment="1">
      <alignment horizontal="center" vertical="center"/>
    </xf>
    <xf numFmtId="1" fontId="45" fillId="44" borderId="83" xfId="0" applyNumberFormat="1" applyFont="1" applyFill="1" applyBorder="1" applyAlignment="1">
      <alignment horizontal="center" vertical="center"/>
    </xf>
    <xf numFmtId="1" fontId="46" fillId="39" borderId="83" xfId="0" applyNumberFormat="1" applyFont="1" applyFill="1" applyBorder="1" applyAlignment="1">
      <alignment horizontal="center" vertical="center"/>
    </xf>
    <xf numFmtId="1" fontId="46" fillId="44" borderId="83" xfId="0" applyNumberFormat="1" applyFont="1" applyFill="1" applyBorder="1" applyAlignment="1">
      <alignment horizontal="center" vertical="center"/>
    </xf>
    <xf numFmtId="3" fontId="46" fillId="39" borderId="82" xfId="0" applyNumberFormat="1" applyFont="1" applyFill="1" applyBorder="1" applyAlignment="1">
      <alignment horizontal="center" vertical="center"/>
    </xf>
    <xf numFmtId="3" fontId="46" fillId="44" borderId="83" xfId="0" applyNumberFormat="1" applyFont="1" applyFill="1" applyBorder="1" applyAlignment="1">
      <alignment horizontal="center" vertical="center"/>
    </xf>
    <xf numFmtId="9" fontId="46" fillId="42" borderId="0" xfId="132" applyFont="1" applyFill="1" applyBorder="1" applyAlignment="1">
      <alignment horizontal="center" vertical="center" wrapText="1"/>
    </xf>
    <xf numFmtId="9" fontId="46" fillId="37" borderId="0" xfId="132" applyFont="1" applyFill="1" applyBorder="1" applyAlignment="1">
      <alignment vertical="center"/>
    </xf>
    <xf numFmtId="169" fontId="46" fillId="42" borderId="0" xfId="132" applyNumberFormat="1" applyFont="1" applyFill="1" applyBorder="1" applyAlignment="1">
      <alignment horizontal="center" vertical="center" wrapText="1"/>
    </xf>
    <xf numFmtId="169" fontId="46" fillId="37" borderId="0" xfId="132" applyNumberFormat="1" applyFont="1" applyFill="1" applyBorder="1" applyAlignment="1">
      <alignment vertical="center"/>
    </xf>
    <xf numFmtId="169" fontId="46" fillId="39" borderId="81" xfId="132" applyNumberFormat="1" applyFont="1" applyFill="1" applyBorder="1" applyAlignment="1">
      <alignment horizontal="center" vertical="center"/>
    </xf>
    <xf numFmtId="169" fontId="46" fillId="39" borderId="60" xfId="132" applyNumberFormat="1" applyFont="1" applyFill="1" applyBorder="1" applyAlignment="1">
      <alignment horizontal="center" vertical="center"/>
    </xf>
    <xf numFmtId="169" fontId="46" fillId="44" borderId="60" xfId="132" applyNumberFormat="1" applyFont="1" applyFill="1" applyBorder="1" applyAlignment="1">
      <alignment horizontal="center" vertical="center"/>
    </xf>
    <xf numFmtId="9" fontId="46" fillId="39" borderId="81" xfId="132" applyFont="1" applyFill="1" applyBorder="1" applyAlignment="1">
      <alignment horizontal="center" vertical="center"/>
    </xf>
    <xf numFmtId="9" fontId="46" fillId="39" borderId="60" xfId="132" applyFont="1" applyFill="1" applyBorder="1" applyAlignment="1">
      <alignment horizontal="center" vertical="center"/>
    </xf>
    <xf numFmtId="9" fontId="46" fillId="44" borderId="60" xfId="132" applyFont="1" applyFill="1" applyBorder="1" applyAlignment="1">
      <alignment horizontal="center" vertical="center"/>
    </xf>
    <xf numFmtId="169" fontId="46" fillId="39" borderId="17" xfId="132" applyNumberFormat="1" applyFont="1" applyFill="1" applyBorder="1" applyAlignment="1">
      <alignment horizontal="center" vertical="center"/>
    </xf>
    <xf numFmtId="4" fontId="48" fillId="39" borderId="17" xfId="0" applyNumberFormat="1" applyFont="1" applyFill="1" applyBorder="1" applyAlignment="1">
      <alignment horizontal="center" vertical="center"/>
    </xf>
    <xf numFmtId="194" fontId="47" fillId="0" borderId="0" xfId="187" applyNumberFormat="1" applyFont="1" applyFill="1"/>
    <xf numFmtId="4" fontId="45" fillId="0" borderId="0" xfId="0" applyNumberFormat="1" applyFont="1" applyFill="1" applyBorder="1" applyAlignment="1">
      <alignment horizontal="center" vertical="center"/>
    </xf>
    <xf numFmtId="4" fontId="48" fillId="37" borderId="0" xfId="0" applyNumberFormat="1" applyFont="1" applyFill="1" applyBorder="1" applyAlignment="1">
      <alignment horizontal="center" vertical="center"/>
    </xf>
    <xf numFmtId="4" fontId="48" fillId="37" borderId="13" xfId="0" applyNumberFormat="1" applyFont="1" applyFill="1" applyBorder="1" applyAlignment="1">
      <alignment horizontal="center" vertical="center"/>
    </xf>
    <xf numFmtId="3" fontId="45" fillId="0" borderId="105" xfId="0" applyNumberFormat="1" applyFont="1" applyFill="1" applyBorder="1" applyAlignment="1">
      <alignment horizontal="center" vertical="center"/>
    </xf>
    <xf numFmtId="199" fontId="48" fillId="39" borderId="47" xfId="0" applyNumberFormat="1" applyFont="1" applyFill="1" applyBorder="1" applyAlignment="1">
      <alignment horizontal="center" vertical="center"/>
    </xf>
    <xf numFmtId="199" fontId="45" fillId="0" borderId="30" xfId="0" applyNumberFormat="1" applyFont="1" applyFill="1" applyBorder="1" applyAlignment="1">
      <alignment horizontal="center" vertical="center"/>
    </xf>
    <xf numFmtId="199" fontId="48" fillId="37" borderId="91" xfId="0" applyNumberFormat="1" applyFont="1" applyFill="1" applyBorder="1" applyAlignment="1">
      <alignment horizontal="center" vertical="center"/>
    </xf>
    <xf numFmtId="3" fontId="46" fillId="0" borderId="0" xfId="186" applyNumberFormat="1" applyFont="1" applyBorder="1"/>
    <xf numFmtId="3" fontId="46" fillId="39" borderId="101" xfId="0" applyNumberFormat="1" applyFont="1" applyFill="1" applyBorder="1" applyAlignment="1">
      <alignment horizontal="center" vertical="center"/>
    </xf>
    <xf numFmtId="3" fontId="46" fillId="42" borderId="109" xfId="0" applyNumberFormat="1" applyFont="1" applyFill="1" applyBorder="1" applyAlignment="1">
      <alignment horizontal="center" vertical="center" wrapText="1"/>
    </xf>
    <xf numFmtId="0" fontId="77" fillId="35" borderId="12" xfId="0" applyFont="1" applyFill="1" applyBorder="1" applyAlignment="1">
      <alignment horizontal="left" vertical="center" wrapText="1" indent="1"/>
    </xf>
    <xf numFmtId="3" fontId="77" fillId="35" borderId="15" xfId="0" applyNumberFormat="1" applyFont="1" applyFill="1" applyBorder="1" applyAlignment="1">
      <alignment horizontal="center" vertical="center" wrapText="1"/>
    </xf>
    <xf numFmtId="1" fontId="77" fillId="35" borderId="13" xfId="0" applyNumberFormat="1" applyFont="1" applyFill="1" applyBorder="1" applyAlignment="1">
      <alignment horizontal="center" vertical="center" wrapText="1"/>
    </xf>
    <xf numFmtId="1" fontId="77" fillId="35" borderId="17" xfId="0" applyNumberFormat="1" applyFont="1" applyFill="1" applyBorder="1" applyAlignment="1">
      <alignment horizontal="center" vertical="center" wrapText="1"/>
    </xf>
    <xf numFmtId="0" fontId="77" fillId="35" borderId="34" xfId="0" applyFont="1" applyFill="1" applyBorder="1" applyAlignment="1">
      <alignment horizontal="left" vertical="center" wrapText="1" indent="1"/>
    </xf>
    <xf numFmtId="3" fontId="77" fillId="35" borderId="48" xfId="0" applyNumberFormat="1" applyFont="1" applyFill="1" applyBorder="1" applyAlignment="1">
      <alignment horizontal="center" vertical="center" wrapText="1"/>
    </xf>
    <xf numFmtId="0" fontId="67" fillId="34" borderId="110" xfId="0" applyFont="1" applyFill="1" applyBorder="1" applyAlignment="1">
      <alignment horizontal="left" vertical="center" wrapText="1"/>
    </xf>
    <xf numFmtId="3" fontId="46" fillId="34" borderId="95" xfId="0" applyNumberFormat="1" applyFont="1" applyFill="1" applyBorder="1" applyAlignment="1">
      <alignment horizontal="center" vertical="center" wrapText="1"/>
    </xf>
    <xf numFmtId="0" fontId="142" fillId="34" borderId="34" xfId="0" applyFont="1" applyFill="1" applyBorder="1" applyAlignment="1">
      <alignment horizontal="left" vertical="center" wrapText="1" indent="2"/>
    </xf>
    <xf numFmtId="0" fontId="142" fillId="34" borderId="35" xfId="0" applyFont="1" applyFill="1" applyBorder="1" applyAlignment="1">
      <alignment horizontal="left" vertical="center" wrapText="1" indent="2"/>
    </xf>
    <xf numFmtId="0" fontId="45" fillId="35" borderId="34" xfId="0" applyFont="1" applyFill="1" applyBorder="1" applyAlignment="1">
      <alignment horizontal="left" vertical="center" wrapText="1"/>
    </xf>
    <xf numFmtId="0" fontId="67" fillId="34" borderId="102" xfId="0" applyFont="1" applyFill="1" applyBorder="1" applyAlignment="1">
      <alignment horizontal="left" vertical="center" wrapText="1"/>
    </xf>
    <xf numFmtId="4" fontId="46" fillId="34" borderId="13" xfId="0" applyNumberFormat="1" applyFont="1" applyFill="1" applyBorder="1" applyAlignment="1">
      <alignment horizontal="center" vertical="center" wrapText="1"/>
    </xf>
    <xf numFmtId="4" fontId="46" fillId="34" borderId="17" xfId="0" applyNumberFormat="1" applyFont="1" applyFill="1" applyBorder="1" applyAlignment="1">
      <alignment horizontal="center" vertical="center" wrapText="1"/>
    </xf>
    <xf numFmtId="4" fontId="46" fillId="34" borderId="15" xfId="0" applyNumberFormat="1" applyFont="1" applyFill="1" applyBorder="1" applyAlignment="1">
      <alignment horizontal="center" vertical="center" wrapText="1"/>
    </xf>
    <xf numFmtId="4" fontId="46" fillId="34" borderId="16" xfId="0" applyNumberFormat="1" applyFont="1" applyFill="1" applyBorder="1" applyAlignment="1">
      <alignment horizontal="center" vertical="center" wrapText="1"/>
    </xf>
    <xf numFmtId="3" fontId="45" fillId="0" borderId="0" xfId="0" applyNumberFormat="1" applyFont="1" applyBorder="1" applyAlignment="1">
      <alignment vertical="center"/>
    </xf>
    <xf numFmtId="0" fontId="46" fillId="37" borderId="104" xfId="0" applyFont="1" applyFill="1" applyBorder="1" applyAlignment="1">
      <alignment horizontal="left" vertical="center" wrapText="1"/>
    </xf>
    <xf numFmtId="0" fontId="46" fillId="37" borderId="12" xfId="0" applyFont="1" applyFill="1" applyBorder="1" applyAlignment="1">
      <alignment horizontal="left" vertical="center" wrapText="1"/>
    </xf>
    <xf numFmtId="0" fontId="46" fillId="37" borderId="26" xfId="0" applyFont="1" applyFill="1" applyBorder="1" applyAlignment="1">
      <alignment horizontal="left" vertical="center" wrapText="1"/>
    </xf>
    <xf numFmtId="0" fontId="45" fillId="37" borderId="104" xfId="0" applyFont="1" applyFill="1" applyBorder="1" applyAlignment="1">
      <alignment horizontal="left" vertical="center" wrapText="1"/>
    </xf>
    <xf numFmtId="10" fontId="46" fillId="0" borderId="107" xfId="132" applyNumberFormat="1" applyFont="1" applyFill="1" applyBorder="1" applyAlignment="1">
      <alignment horizontal="center" vertical="center"/>
    </xf>
    <xf numFmtId="2" fontId="46" fillId="0" borderId="0" xfId="0" applyNumberFormat="1" applyFont="1" applyFill="1" applyBorder="1" applyAlignment="1">
      <alignment horizontal="center" vertical="center"/>
    </xf>
    <xf numFmtId="10" fontId="46" fillId="0" borderId="0" xfId="132" applyNumberFormat="1" applyFont="1" applyFill="1" applyBorder="1" applyAlignment="1">
      <alignment horizontal="center" vertical="center"/>
    </xf>
    <xf numFmtId="10" fontId="46" fillId="0" borderId="0" xfId="187" applyNumberFormat="1" applyFont="1" applyFill="1" applyBorder="1" applyAlignment="1">
      <alignment horizontal="center" vertical="center"/>
    </xf>
    <xf numFmtId="9" fontId="46" fillId="0" borderId="0" xfId="132" applyNumberFormat="1" applyFont="1" applyFill="1" applyBorder="1" applyAlignment="1">
      <alignment horizontal="center" vertical="center"/>
    </xf>
    <xf numFmtId="9" fontId="46" fillId="0" borderId="0" xfId="132" applyFont="1" applyFill="1" applyBorder="1" applyAlignment="1">
      <alignment horizontal="center" vertical="center"/>
    </xf>
    <xf numFmtId="3" fontId="50" fillId="0" borderId="111" xfId="67" applyNumberFormat="1" applyFont="1" applyBorder="1" applyAlignment="1">
      <alignment horizontal="center" vertical="center"/>
    </xf>
    <xf numFmtId="3" fontId="50" fillId="37" borderId="111" xfId="67" applyNumberFormat="1" applyFont="1" applyFill="1" applyBorder="1" applyAlignment="1">
      <alignment horizontal="center" vertical="center"/>
    </xf>
    <xf numFmtId="3" fontId="50" fillId="0" borderId="111" xfId="0" applyNumberFormat="1" applyFont="1" applyBorder="1" applyAlignment="1">
      <alignment horizontal="center" vertical="center"/>
    </xf>
    <xf numFmtId="3" fontId="50" fillId="37" borderId="111" xfId="0" applyNumberFormat="1" applyFont="1" applyFill="1" applyBorder="1" applyAlignment="1">
      <alignment horizontal="center" vertical="center"/>
    </xf>
    <xf numFmtId="3" fontId="50" fillId="0" borderId="112" xfId="67" applyNumberFormat="1" applyFont="1" applyBorder="1" applyAlignment="1">
      <alignment horizontal="center" vertical="center"/>
    </xf>
    <xf numFmtId="3" fontId="50" fillId="37" borderId="112" xfId="67" applyNumberFormat="1" applyFont="1" applyFill="1" applyBorder="1" applyAlignment="1">
      <alignment horizontal="center" vertical="center"/>
    </xf>
    <xf numFmtId="0" fontId="61" fillId="26" borderId="113" xfId="0" applyFont="1" applyFill="1" applyBorder="1" applyAlignment="1">
      <alignment horizontal="left" vertical="center"/>
    </xf>
    <xf numFmtId="0" fontId="50" fillId="0" borderId="114" xfId="0" applyFont="1" applyBorder="1" applyAlignment="1">
      <alignment horizontal="left" vertical="center" wrapText="1"/>
    </xf>
    <xf numFmtId="3" fontId="50" fillId="43" borderId="115" xfId="67" applyNumberFormat="1" applyFont="1" applyFill="1" applyBorder="1" applyAlignment="1">
      <alignment horizontal="center" vertical="center"/>
    </xf>
    <xf numFmtId="0" fontId="50" fillId="0" borderId="37" xfId="0" applyFont="1" applyBorder="1" applyAlignment="1">
      <alignment horizontal="left" vertical="center" wrapText="1"/>
    </xf>
    <xf numFmtId="3" fontId="50" fillId="0" borderId="0" xfId="67" applyNumberFormat="1" applyFont="1" applyBorder="1" applyAlignment="1">
      <alignment horizontal="center" vertical="center"/>
    </xf>
    <xf numFmtId="3" fontId="50" fillId="37" borderId="0" xfId="67" applyNumberFormat="1" applyFont="1" applyFill="1" applyBorder="1" applyAlignment="1">
      <alignment horizontal="center" vertical="center"/>
    </xf>
    <xf numFmtId="3" fontId="50" fillId="43" borderId="43" xfId="67" applyNumberFormat="1" applyFont="1" applyFill="1" applyBorder="1" applyAlignment="1">
      <alignment horizontal="center" vertical="center"/>
    </xf>
    <xf numFmtId="0" fontId="50" fillId="0" borderId="116" xfId="0" applyFont="1" applyBorder="1" applyAlignment="1">
      <alignment horizontal="left" vertical="center" wrapText="1"/>
    </xf>
    <xf numFmtId="3" fontId="50" fillId="43" borderId="117" xfId="67" applyNumberFormat="1" applyFont="1" applyFill="1" applyBorder="1" applyAlignment="1">
      <alignment horizontal="center" vertical="center"/>
    </xf>
    <xf numFmtId="0" fontId="49" fillId="54" borderId="37" xfId="0" applyFont="1" applyFill="1" applyBorder="1" applyAlignment="1">
      <alignment horizontal="left" vertical="center" wrapText="1"/>
    </xf>
    <xf numFmtId="1" fontId="49" fillId="54" borderId="0" xfId="0" applyNumberFormat="1" applyFont="1" applyFill="1" applyBorder="1" applyAlignment="1">
      <alignment horizontal="center" vertical="center" wrapText="1"/>
    </xf>
    <xf numFmtId="3" fontId="50" fillId="0" borderId="0" xfId="0" applyNumberFormat="1" applyFont="1" applyBorder="1" applyAlignment="1">
      <alignment horizontal="center" vertical="center"/>
    </xf>
    <xf numFmtId="3" fontId="50" fillId="37" borderId="0" xfId="0" applyNumberFormat="1" applyFont="1" applyFill="1" applyBorder="1" applyAlignment="1">
      <alignment horizontal="center" vertical="center"/>
    </xf>
    <xf numFmtId="3" fontId="50" fillId="43" borderId="43" xfId="0" applyNumberFormat="1" applyFont="1" applyFill="1" applyBorder="1" applyAlignment="1">
      <alignment horizontal="center" vertical="center"/>
    </xf>
    <xf numFmtId="0" fontId="50" fillId="43" borderId="117" xfId="0" applyFont="1" applyFill="1" applyBorder="1" applyAlignment="1">
      <alignment horizontal="center" vertical="center"/>
    </xf>
    <xf numFmtId="3" fontId="50" fillId="43" borderId="117" xfId="0" applyNumberFormat="1" applyFont="1" applyFill="1" applyBorder="1" applyAlignment="1">
      <alignment horizontal="center" vertical="center"/>
    </xf>
    <xf numFmtId="1" fontId="45" fillId="37" borderId="14" xfId="0" applyNumberFormat="1" applyFont="1" applyFill="1" applyBorder="1" applyAlignment="1">
      <alignment horizontal="center" vertical="center" wrapText="1"/>
    </xf>
    <xf numFmtId="1" fontId="45" fillId="37" borderId="49" xfId="0" applyNumberFormat="1" applyFont="1" applyFill="1" applyBorder="1" applyAlignment="1">
      <alignment horizontal="center" vertical="center" wrapText="1"/>
    </xf>
    <xf numFmtId="3" fontId="50" fillId="37" borderId="112" xfId="67" applyNumberFormat="1" applyFont="1" applyFill="1" applyBorder="1" applyAlignment="1">
      <alignment horizontal="center" vertical="center"/>
    </xf>
    <xf numFmtId="0" fontId="49" fillId="37" borderId="37" xfId="0" applyFont="1" applyFill="1" applyBorder="1" applyAlignment="1">
      <alignment horizontal="left" vertical="center" wrapText="1"/>
    </xf>
    <xf numFmtId="1" fontId="49" fillId="37" borderId="0" xfId="0" applyNumberFormat="1" applyFont="1" applyFill="1" applyBorder="1" applyAlignment="1">
      <alignment horizontal="center" vertical="center" wrapText="1"/>
    </xf>
    <xf numFmtId="1" fontId="49" fillId="37" borderId="43" xfId="0" applyNumberFormat="1" applyFont="1" applyFill="1" applyBorder="1" applyAlignment="1">
      <alignment horizontal="center" vertical="center" wrapText="1"/>
    </xf>
    <xf numFmtId="0" fontId="49" fillId="54" borderId="119" xfId="0" applyFont="1" applyFill="1" applyBorder="1" applyAlignment="1">
      <alignment horizontal="left" vertical="center" wrapText="1"/>
    </xf>
    <xf numFmtId="1" fontId="49" fillId="54" borderId="120" xfId="0" applyNumberFormat="1" applyFont="1" applyFill="1" applyBorder="1" applyAlignment="1">
      <alignment horizontal="center" vertical="center" wrapText="1"/>
    </xf>
    <xf numFmtId="0" fontId="49" fillId="37" borderId="32" xfId="0" applyFont="1" applyFill="1" applyBorder="1" applyAlignment="1">
      <alignment horizontal="left" vertical="center" wrapText="1"/>
    </xf>
    <xf numFmtId="2" fontId="49" fillId="37" borderId="32" xfId="0" applyNumberFormat="1" applyFont="1" applyFill="1" applyBorder="1" applyAlignment="1">
      <alignment horizontal="center" vertical="center" wrapText="1"/>
    </xf>
    <xf numFmtId="0" fontId="50" fillId="56" borderId="122" xfId="0" applyFont="1" applyFill="1" applyBorder="1" applyAlignment="1">
      <alignment horizontal="left" vertical="center" wrapText="1"/>
    </xf>
    <xf numFmtId="1" fontId="143" fillId="56" borderId="123" xfId="0" applyNumberFormat="1" applyFont="1" applyFill="1" applyBorder="1" applyAlignment="1">
      <alignment horizontal="center" vertical="center" wrapText="1"/>
    </xf>
    <xf numFmtId="1" fontId="143" fillId="56" borderId="124" xfId="0" applyNumberFormat="1" applyFont="1" applyFill="1" applyBorder="1" applyAlignment="1">
      <alignment horizontal="center" vertical="center" wrapText="1"/>
    </xf>
    <xf numFmtId="0" fontId="50" fillId="56" borderId="37" xfId="0" applyFont="1" applyFill="1" applyBorder="1" applyAlignment="1">
      <alignment horizontal="left" vertical="center" wrapText="1"/>
    </xf>
    <xf numFmtId="1" fontId="143" fillId="56" borderId="0" xfId="0" applyNumberFormat="1" applyFont="1" applyFill="1" applyBorder="1" applyAlignment="1">
      <alignment horizontal="center" vertical="center" wrapText="1"/>
    </xf>
    <xf numFmtId="1" fontId="143" fillId="56" borderId="43" xfId="0" applyNumberFormat="1" applyFont="1" applyFill="1" applyBorder="1" applyAlignment="1">
      <alignment horizontal="center" vertical="center" wrapText="1"/>
    </xf>
    <xf numFmtId="0" fontId="49" fillId="56" borderId="125" xfId="0" applyFont="1" applyFill="1" applyBorder="1" applyAlignment="1">
      <alignment horizontal="left" vertical="center" wrapText="1"/>
    </xf>
    <xf numFmtId="2" fontId="49" fillId="56" borderId="126" xfId="0" applyNumberFormat="1" applyFont="1" applyFill="1" applyBorder="1" applyAlignment="1">
      <alignment horizontal="center" vertical="center" wrapText="1"/>
    </xf>
    <xf numFmtId="2" fontId="49" fillId="56" borderId="127" xfId="0" applyNumberFormat="1" applyFont="1" applyFill="1" applyBorder="1" applyAlignment="1">
      <alignment horizontal="center" vertical="center" wrapText="1"/>
    </xf>
    <xf numFmtId="3" fontId="143" fillId="56" borderId="123" xfId="0" applyNumberFormat="1" applyFont="1" applyFill="1" applyBorder="1" applyAlignment="1">
      <alignment horizontal="center" vertical="center"/>
    </xf>
    <xf numFmtId="3" fontId="143" fillId="56" borderId="120" xfId="0" applyNumberFormat="1" applyFont="1" applyFill="1" applyBorder="1" applyAlignment="1">
      <alignment horizontal="center" vertical="center"/>
    </xf>
    <xf numFmtId="0" fontId="49" fillId="56" borderId="118" xfId="0" applyFont="1" applyFill="1" applyBorder="1" applyAlignment="1">
      <alignment horizontal="left" vertical="center" wrapText="1"/>
    </xf>
    <xf numFmtId="2" fontId="49" fillId="56" borderId="31" xfId="0" applyNumberFormat="1" applyFont="1" applyFill="1" applyBorder="1" applyAlignment="1">
      <alignment horizontal="center" vertical="center" wrapText="1"/>
    </xf>
    <xf numFmtId="2" fontId="49" fillId="56" borderId="44" xfId="0" applyNumberFormat="1" applyFont="1" applyFill="1" applyBorder="1" applyAlignment="1">
      <alignment horizontal="center" vertical="center" wrapText="1"/>
    </xf>
    <xf numFmtId="0" fontId="144" fillId="37" borderId="37" xfId="0" applyFont="1" applyFill="1" applyBorder="1" applyAlignment="1">
      <alignment horizontal="left" vertical="center" wrapText="1"/>
    </xf>
    <xf numFmtId="1" fontId="144" fillId="37" borderId="0" xfId="0" applyNumberFormat="1" applyFont="1" applyFill="1" applyBorder="1" applyAlignment="1">
      <alignment horizontal="center" vertical="center" wrapText="1"/>
    </xf>
    <xf numFmtId="3" fontId="144" fillId="37" borderId="0" xfId="0" applyNumberFormat="1" applyFont="1" applyFill="1" applyBorder="1" applyAlignment="1">
      <alignment horizontal="center" vertical="center" wrapText="1"/>
    </xf>
    <xf numFmtId="1" fontId="144" fillId="37" borderId="127" xfId="0" applyNumberFormat="1" applyFont="1" applyFill="1" applyBorder="1" applyAlignment="1">
      <alignment horizontal="center" vertical="center" wrapText="1"/>
    </xf>
    <xf numFmtId="0" fontId="145" fillId="57" borderId="112" xfId="0" applyFont="1" applyFill="1" applyBorder="1" applyAlignment="1">
      <alignment horizontal="left" vertical="center" wrapText="1"/>
    </xf>
    <xf numFmtId="0" fontId="60" fillId="0" borderId="0" xfId="0" applyFont="1" applyAlignment="1">
      <alignment vertical="center"/>
    </xf>
    <xf numFmtId="0" fontId="55" fillId="0" borderId="0" xfId="39" applyFont="1" applyAlignment="1" applyProtection="1"/>
    <xf numFmtId="1" fontId="45" fillId="37" borderId="51" xfId="0" applyNumberFormat="1" applyFont="1" applyFill="1" applyBorder="1" applyAlignment="1">
      <alignment horizontal="center" vertical="center"/>
    </xf>
    <xf numFmtId="9" fontId="48" fillId="37" borderId="108" xfId="132" applyFont="1" applyFill="1" applyBorder="1" applyAlignment="1">
      <alignment horizontal="center"/>
    </xf>
    <xf numFmtId="3" fontId="46" fillId="34" borderId="89" xfId="0" applyNumberFormat="1" applyFont="1" applyFill="1" applyBorder="1" applyAlignment="1">
      <alignment horizontal="center" vertical="center"/>
    </xf>
    <xf numFmtId="200" fontId="46" fillId="0" borderId="0" xfId="0" applyNumberFormat="1" applyFont="1" applyBorder="1" applyAlignment="1">
      <alignment vertical="center"/>
    </xf>
    <xf numFmtId="3" fontId="46" fillId="37" borderId="31" xfId="0" applyNumberFormat="1" applyFont="1" applyFill="1" applyBorder="1" applyAlignment="1">
      <alignment horizontal="center" vertical="center"/>
    </xf>
    <xf numFmtId="3" fontId="46" fillId="37" borderId="91" xfId="67" applyNumberFormat="1" applyFont="1" applyFill="1" applyBorder="1" applyAlignment="1">
      <alignment horizontal="center" vertical="center"/>
    </xf>
    <xf numFmtId="173" fontId="49" fillId="26" borderId="88" xfId="0" applyNumberFormat="1" applyFont="1" applyFill="1" applyBorder="1" applyAlignment="1">
      <alignment horizontal="center" vertical="center" wrapText="1"/>
    </xf>
    <xf numFmtId="3" fontId="48" fillId="37" borderId="88" xfId="0" applyNumberFormat="1" applyFont="1" applyFill="1" applyBorder="1" applyAlignment="1">
      <alignment horizontal="center" vertical="center" wrapText="1"/>
    </xf>
    <xf numFmtId="170" fontId="46" fillId="0" borderId="0" xfId="0" applyNumberFormat="1" applyFont="1" applyBorder="1" applyAlignment="1">
      <alignment vertical="center"/>
    </xf>
    <xf numFmtId="9" fontId="46" fillId="0" borderId="0" xfId="132" applyFont="1" applyBorder="1"/>
    <xf numFmtId="2" fontId="45" fillId="37" borderId="0" xfId="0" applyNumberFormat="1" applyFont="1" applyFill="1" applyBorder="1" applyAlignment="1">
      <alignment horizontal="center" vertical="center"/>
    </xf>
    <xf numFmtId="2" fontId="46" fillId="0" borderId="0" xfId="0" applyNumberFormat="1" applyFont="1" applyBorder="1" applyAlignment="1">
      <alignment horizontal="left"/>
    </xf>
    <xf numFmtId="2" fontId="46" fillId="0" borderId="48" xfId="0" applyNumberFormat="1" applyFont="1" applyBorder="1" applyAlignment="1">
      <alignment horizontal="left"/>
    </xf>
    <xf numFmtId="169" fontId="46" fillId="37" borderId="0" xfId="132" applyNumberFormat="1" applyFont="1" applyFill="1" applyBorder="1" applyAlignment="1">
      <alignment horizontal="center" vertical="center"/>
    </xf>
    <xf numFmtId="169" fontId="46" fillId="37" borderId="89" xfId="132" applyNumberFormat="1" applyFont="1" applyFill="1" applyBorder="1" applyAlignment="1">
      <alignment horizontal="center" vertical="center"/>
    </xf>
    <xf numFmtId="3" fontId="45" fillId="39" borderId="17" xfId="67" applyNumberFormat="1" applyFont="1" applyFill="1" applyBorder="1" applyAlignment="1">
      <alignment horizontal="center" vertical="center"/>
    </xf>
    <xf numFmtId="3" fontId="46" fillId="37" borderId="129" xfId="67" applyNumberFormat="1" applyFont="1" applyFill="1" applyBorder="1" applyAlignment="1">
      <alignment horizontal="center" vertical="center"/>
    </xf>
    <xf numFmtId="3" fontId="46" fillId="37" borderId="90" xfId="67" applyNumberFormat="1" applyFont="1" applyFill="1" applyBorder="1" applyAlignment="1">
      <alignment horizontal="center" vertical="center"/>
    </xf>
    <xf numFmtId="3" fontId="45" fillId="37" borderId="130" xfId="0" applyNumberFormat="1" applyFont="1" applyFill="1" applyBorder="1" applyAlignment="1">
      <alignment horizontal="center" vertical="center"/>
    </xf>
    <xf numFmtId="2" fontId="46" fillId="39" borderId="17" xfId="0" applyNumberFormat="1" applyFont="1" applyFill="1" applyBorder="1" applyAlignment="1">
      <alignment horizontal="center" vertical="center"/>
    </xf>
    <xf numFmtId="10" fontId="46" fillId="39" borderId="17" xfId="187" applyNumberFormat="1" applyFont="1" applyFill="1" applyBorder="1" applyAlignment="1">
      <alignment horizontal="center" vertical="center"/>
    </xf>
    <xf numFmtId="9" fontId="46" fillId="39" borderId="17" xfId="187" applyNumberFormat="1" applyFont="1" applyFill="1" applyBorder="1" applyAlignment="1">
      <alignment horizontal="center" vertical="center"/>
    </xf>
    <xf numFmtId="169" fontId="46" fillId="39" borderId="17" xfId="187" applyNumberFormat="1" applyFont="1" applyFill="1" applyBorder="1" applyAlignment="1">
      <alignment horizontal="center" vertical="center"/>
    </xf>
    <xf numFmtId="2" fontId="46" fillId="37" borderId="13" xfId="0" applyNumberFormat="1" applyFont="1" applyFill="1" applyBorder="1" applyAlignment="1">
      <alignment horizontal="center" vertical="center"/>
    </xf>
    <xf numFmtId="10" fontId="46" fillId="37" borderId="13" xfId="187" applyNumberFormat="1" applyFont="1" applyFill="1" applyBorder="1" applyAlignment="1">
      <alignment horizontal="center" vertical="center"/>
    </xf>
    <xf numFmtId="9" fontId="46" fillId="37" borderId="13" xfId="187" applyNumberFormat="1" applyFont="1" applyFill="1" applyBorder="1" applyAlignment="1">
      <alignment horizontal="center" vertical="center"/>
    </xf>
    <xf numFmtId="169" fontId="46" fillId="37" borderId="13" xfId="187" applyNumberFormat="1" applyFont="1" applyFill="1" applyBorder="1" applyAlignment="1">
      <alignment horizontal="center" vertical="center"/>
    </xf>
    <xf numFmtId="3" fontId="77" fillId="35" borderId="46" xfId="0" applyNumberFormat="1" applyFont="1" applyFill="1" applyBorder="1" applyAlignment="1">
      <alignment horizontal="center" vertical="center" wrapText="1"/>
    </xf>
    <xf numFmtId="0" fontId="0" fillId="37" borderId="0" xfId="0" applyFill="1" applyBorder="1"/>
    <xf numFmtId="0" fontId="0" fillId="37" borderId="87" xfId="0" applyFill="1" applyBorder="1"/>
    <xf numFmtId="0" fontId="46" fillId="0" borderId="0" xfId="0" applyFont="1" applyBorder="1" applyAlignment="1">
      <alignment horizontal="left" vertical="center"/>
    </xf>
    <xf numFmtId="9" fontId="51" fillId="0" borderId="0" xfId="0" applyNumberFormat="1" applyFont="1" applyFill="1" applyBorder="1" applyAlignment="1">
      <alignment horizontal="center" vertical="center"/>
    </xf>
    <xf numFmtId="9" fontId="51" fillId="37" borderId="0" xfId="0" applyNumberFormat="1" applyFont="1" applyFill="1" applyBorder="1" applyAlignment="1">
      <alignment horizontal="center" vertical="center"/>
    </xf>
    <xf numFmtId="0" fontId="46" fillId="37" borderId="0" xfId="0" applyFont="1" applyFill="1" applyBorder="1" applyAlignment="1">
      <alignment horizontal="left" vertical="center"/>
    </xf>
    <xf numFmtId="10" fontId="47" fillId="0" borderId="0" xfId="184" applyNumberFormat="1" applyFont="1" applyAlignment="1">
      <alignment horizontal="left" vertical="center"/>
    </xf>
    <xf numFmtId="1" fontId="47" fillId="0" borderId="0" xfId="184" applyNumberFormat="1" applyFont="1" applyAlignment="1">
      <alignment horizontal="left" vertical="center"/>
    </xf>
    <xf numFmtId="170" fontId="50" fillId="0" borderId="0" xfId="184" applyNumberFormat="1" applyFont="1" applyFill="1" applyAlignment="1" applyProtection="1">
      <alignment vertical="center"/>
    </xf>
    <xf numFmtId="0" fontId="47" fillId="0" borderId="0" xfId="0" applyFont="1" applyFill="1" applyAlignment="1">
      <alignment horizontal="right"/>
    </xf>
    <xf numFmtId="9" fontId="47" fillId="0" borderId="0" xfId="0" applyNumberFormat="1" applyFont="1" applyFill="1" applyAlignment="1">
      <alignment horizontal="right"/>
    </xf>
    <xf numFmtId="0" fontId="57" fillId="0" borderId="0" xfId="0" applyFont="1" applyFill="1" applyAlignment="1">
      <alignment horizontal="right"/>
    </xf>
    <xf numFmtId="2" fontId="46" fillId="37" borderId="0" xfId="0" applyNumberFormat="1" applyFont="1" applyFill="1" applyBorder="1" applyAlignment="1">
      <alignment horizontal="center" vertical="center"/>
    </xf>
    <xf numFmtId="10" fontId="46" fillId="37" borderId="0" xfId="132" applyNumberFormat="1" applyFont="1" applyFill="1" applyBorder="1" applyAlignment="1">
      <alignment horizontal="center" vertical="center"/>
    </xf>
    <xf numFmtId="10" fontId="46" fillId="37" borderId="0" xfId="187" applyNumberFormat="1" applyFont="1" applyFill="1" applyBorder="1" applyAlignment="1">
      <alignment horizontal="center" vertical="center"/>
    </xf>
    <xf numFmtId="3" fontId="47" fillId="0" borderId="0" xfId="184" applyNumberFormat="1" applyFont="1" applyAlignment="1">
      <alignment horizontal="left" vertical="center"/>
    </xf>
    <xf numFmtId="0" fontId="47" fillId="58" borderId="0" xfId="184" applyFont="1" applyFill="1" applyAlignment="1">
      <alignment horizontal="left" vertical="center"/>
    </xf>
    <xf numFmtId="0" fontId="146" fillId="37" borderId="86" xfId="0" applyFont="1" applyFill="1" applyBorder="1" applyAlignment="1">
      <alignment horizontal="center"/>
    </xf>
    <xf numFmtId="0" fontId="60" fillId="0" borderId="0" xfId="0" applyFont="1" applyFill="1" applyBorder="1" applyAlignment="1">
      <alignment horizontal="left" vertical="top" wrapText="1"/>
    </xf>
    <xf numFmtId="173" fontId="49" fillId="26" borderId="135" xfId="186" applyNumberFormat="1" applyFont="1" applyFill="1" applyBorder="1" applyAlignment="1">
      <alignment horizontal="center" vertical="center" wrapText="1"/>
    </xf>
    <xf numFmtId="0" fontId="0" fillId="37" borderId="136" xfId="0" applyFill="1" applyBorder="1"/>
    <xf numFmtId="173" fontId="53" fillId="39" borderId="136" xfId="186" applyNumberFormat="1" applyFont="1" applyFill="1" applyBorder="1" applyAlignment="1">
      <alignment horizontal="center" vertical="center" wrapText="1"/>
    </xf>
    <xf numFmtId="3" fontId="90" fillId="37" borderId="136" xfId="186" applyNumberFormat="1" applyFont="1" applyFill="1" applyBorder="1" applyAlignment="1">
      <alignment horizontal="center"/>
    </xf>
    <xf numFmtId="169" fontId="87" fillId="37" borderId="136" xfId="132" applyNumberFormat="1" applyFont="1" applyFill="1" applyBorder="1" applyAlignment="1">
      <alignment horizontal="center"/>
    </xf>
    <xf numFmtId="2" fontId="46" fillId="0" borderId="15" xfId="0" applyNumberFormat="1" applyFont="1" applyBorder="1" applyAlignment="1">
      <alignment horizontal="left"/>
    </xf>
    <xf numFmtId="4" fontId="46" fillId="34" borderId="48" xfId="0" applyNumberFormat="1" applyFont="1" applyFill="1" applyBorder="1" applyAlignment="1">
      <alignment horizontal="center" vertical="center" wrapText="1"/>
    </xf>
    <xf numFmtId="4" fontId="46" fillId="34" borderId="98" xfId="0" applyNumberFormat="1" applyFont="1" applyFill="1" applyBorder="1" applyAlignment="1">
      <alignment horizontal="center" vertical="center" wrapText="1"/>
    </xf>
    <xf numFmtId="0" fontId="46" fillId="0" borderId="48" xfId="0" applyFont="1" applyBorder="1" applyAlignment="1">
      <alignment horizontal="left"/>
    </xf>
    <xf numFmtId="173" fontId="46" fillId="26" borderId="137" xfId="0" applyNumberFormat="1" applyFont="1" applyFill="1" applyBorder="1" applyAlignment="1">
      <alignment horizontal="center" vertical="center" wrapText="1"/>
    </xf>
    <xf numFmtId="3" fontId="46" fillId="39" borderId="43" xfId="0" applyNumberFormat="1" applyFont="1" applyFill="1" applyBorder="1" applyAlignment="1">
      <alignment horizontal="center" vertical="center"/>
    </xf>
    <xf numFmtId="3" fontId="46" fillId="39" borderId="43" xfId="67" applyNumberFormat="1" applyFont="1" applyFill="1" applyBorder="1" applyAlignment="1">
      <alignment horizontal="center" vertical="center"/>
    </xf>
    <xf numFmtId="3" fontId="45" fillId="39" borderId="43" xfId="67" applyNumberFormat="1" applyFont="1" applyFill="1" applyBorder="1" applyAlignment="1">
      <alignment horizontal="center" vertical="center"/>
    </xf>
    <xf numFmtId="9" fontId="46" fillId="39" borderId="43" xfId="132" applyFont="1" applyFill="1" applyBorder="1" applyAlignment="1">
      <alignment horizontal="center" vertical="center"/>
    </xf>
    <xf numFmtId="9" fontId="46" fillId="39" borderId="43" xfId="0" applyNumberFormat="1" applyFont="1" applyFill="1" applyBorder="1" applyAlignment="1">
      <alignment horizontal="center" vertical="center"/>
    </xf>
    <xf numFmtId="9" fontId="45" fillId="39" borderId="43" xfId="0" applyNumberFormat="1" applyFont="1" applyFill="1" applyBorder="1" applyAlignment="1">
      <alignment horizontal="center" vertical="center"/>
    </xf>
    <xf numFmtId="9" fontId="51" fillId="39" borderId="44" xfId="0" applyNumberFormat="1" applyFont="1" applyFill="1" applyBorder="1" applyAlignment="1">
      <alignment horizontal="center" vertical="center"/>
    </xf>
    <xf numFmtId="173" fontId="46" fillId="26" borderId="138" xfId="0" applyNumberFormat="1" applyFont="1" applyFill="1" applyBorder="1" applyAlignment="1">
      <alignment horizontal="center" vertical="center" wrapText="1"/>
    </xf>
    <xf numFmtId="3" fontId="46" fillId="37" borderId="134" xfId="0" applyNumberFormat="1" applyFont="1" applyFill="1" applyBorder="1" applyAlignment="1">
      <alignment horizontal="center" vertical="center"/>
    </xf>
    <xf numFmtId="3" fontId="46" fillId="37" borderId="134" xfId="67" applyNumberFormat="1" applyFont="1" applyFill="1" applyBorder="1" applyAlignment="1">
      <alignment horizontal="center" vertical="center"/>
    </xf>
    <xf numFmtId="3" fontId="45" fillId="37" borderId="134" xfId="67" applyNumberFormat="1" applyFont="1" applyFill="1" applyBorder="1" applyAlignment="1">
      <alignment horizontal="center" vertical="center"/>
    </xf>
    <xf numFmtId="9" fontId="46" fillId="37" borderId="134" xfId="132" applyFont="1" applyFill="1" applyBorder="1" applyAlignment="1">
      <alignment horizontal="center" vertical="center"/>
    </xf>
    <xf numFmtId="9" fontId="46" fillId="37" borderId="134" xfId="0" applyNumberFormat="1" applyFont="1" applyFill="1" applyBorder="1" applyAlignment="1">
      <alignment horizontal="center" vertical="center"/>
    </xf>
    <xf numFmtId="9" fontId="45" fillId="37" borderId="134" xfId="0" applyNumberFormat="1" applyFont="1" applyFill="1" applyBorder="1" applyAlignment="1">
      <alignment horizontal="center" vertical="center"/>
    </xf>
    <xf numFmtId="9" fontId="51" fillId="37" borderId="139" xfId="0" applyNumberFormat="1" applyFont="1" applyFill="1" applyBorder="1" applyAlignment="1">
      <alignment horizontal="center" vertical="center"/>
    </xf>
    <xf numFmtId="3" fontId="46" fillId="39" borderId="44" xfId="0" applyNumberFormat="1" applyFont="1" applyFill="1" applyBorder="1" applyAlignment="1">
      <alignment horizontal="center" vertical="center"/>
    </xf>
    <xf numFmtId="3" fontId="46" fillId="37" borderId="140" xfId="0" applyNumberFormat="1" applyFont="1" applyFill="1" applyBorder="1" applyAlignment="1">
      <alignment horizontal="center" vertical="center"/>
    </xf>
    <xf numFmtId="9" fontId="45" fillId="39" borderId="17" xfId="0" applyNumberFormat="1" applyFont="1" applyFill="1" applyBorder="1" applyAlignment="1">
      <alignment horizontal="center" vertical="center"/>
    </xf>
    <xf numFmtId="9" fontId="51" fillId="39" borderId="97" xfId="0" applyNumberFormat="1" applyFont="1" applyFill="1" applyBorder="1" applyAlignment="1">
      <alignment horizontal="center" vertical="center"/>
    </xf>
    <xf numFmtId="9" fontId="45" fillId="37" borderId="13" xfId="0" applyNumberFormat="1" applyFont="1" applyFill="1" applyBorder="1" applyAlignment="1">
      <alignment horizontal="center" vertical="center"/>
    </xf>
    <xf numFmtId="3" fontId="46" fillId="37" borderId="103" xfId="67" applyNumberFormat="1" applyFont="1" applyFill="1" applyBorder="1" applyAlignment="1">
      <alignment horizontal="center" vertical="center"/>
    </xf>
    <xf numFmtId="3" fontId="46" fillId="37" borderId="88" xfId="67" applyNumberFormat="1" applyFont="1" applyFill="1" applyBorder="1" applyAlignment="1">
      <alignment horizontal="center" vertical="center"/>
    </xf>
    <xf numFmtId="3" fontId="46" fillId="37" borderId="105" xfId="0" applyNumberFormat="1" applyFont="1" applyFill="1" applyBorder="1" applyAlignment="1">
      <alignment horizontal="center" vertical="center"/>
    </xf>
    <xf numFmtId="3" fontId="45" fillId="37" borderId="105" xfId="0" applyNumberFormat="1" applyFont="1" applyFill="1" applyBorder="1" applyAlignment="1">
      <alignment horizontal="center" vertical="center"/>
    </xf>
    <xf numFmtId="3" fontId="46" fillId="37" borderId="89" xfId="0" applyNumberFormat="1" applyFont="1" applyFill="1" applyBorder="1" applyAlignment="1">
      <alignment horizontal="center" vertical="center"/>
    </xf>
    <xf numFmtId="3" fontId="46" fillId="37" borderId="87" xfId="67" applyNumberFormat="1" applyFont="1" applyFill="1" applyBorder="1" applyAlignment="1">
      <alignment horizontal="center" vertical="center"/>
    </xf>
    <xf numFmtId="9" fontId="46" fillId="37" borderId="0" xfId="187" applyNumberFormat="1" applyFont="1" applyFill="1" applyBorder="1" applyAlignment="1">
      <alignment horizontal="center" vertical="center"/>
    </xf>
    <xf numFmtId="169" fontId="46" fillId="37" borderId="0" xfId="187" applyNumberFormat="1" applyFont="1" applyFill="1" applyBorder="1" applyAlignment="1">
      <alignment horizontal="center" vertical="center"/>
    </xf>
    <xf numFmtId="10" fontId="46" fillId="37" borderId="107" xfId="132" applyNumberFormat="1" applyFont="1" applyFill="1" applyBorder="1" applyAlignment="1">
      <alignment horizontal="center" vertical="center"/>
    </xf>
    <xf numFmtId="179" fontId="46" fillId="0" borderId="0" xfId="132" applyNumberFormat="1" applyFont="1" applyBorder="1" applyAlignment="1">
      <alignment vertical="center"/>
    </xf>
    <xf numFmtId="201" fontId="46" fillId="0" borderId="0" xfId="187" applyNumberFormat="1" applyFont="1" applyBorder="1" applyAlignment="1">
      <alignment vertical="center"/>
    </xf>
    <xf numFmtId="179" fontId="46" fillId="0" borderId="0" xfId="0" applyNumberFormat="1" applyFont="1" applyBorder="1" applyAlignment="1">
      <alignment vertical="center"/>
    </xf>
    <xf numFmtId="171" fontId="46" fillId="0" borderId="0" xfId="0" applyNumberFormat="1" applyFont="1" applyBorder="1" applyAlignment="1">
      <alignment vertical="center"/>
    </xf>
    <xf numFmtId="0" fontId="45" fillId="0" borderId="0" xfId="0" applyFont="1" applyAlignment="1">
      <alignment horizontal="center" vertical="center"/>
    </xf>
    <xf numFmtId="0" fontId="52" fillId="26" borderId="141" xfId="0" applyFont="1" applyFill="1" applyBorder="1" applyAlignment="1">
      <alignment vertical="center"/>
    </xf>
    <xf numFmtId="0" fontId="46" fillId="0" borderId="0" xfId="0" applyFont="1" applyAlignment="1">
      <alignment vertical="center"/>
    </xf>
    <xf numFmtId="3" fontId="45" fillId="0" borderId="0" xfId="0" applyNumberFormat="1" applyFont="1" applyAlignment="1">
      <alignment horizontal="center" vertical="center"/>
    </xf>
    <xf numFmtId="3" fontId="45" fillId="37" borderId="0" xfId="0" applyNumberFormat="1" applyFont="1" applyFill="1" applyAlignment="1">
      <alignment horizontal="center" vertical="center"/>
    </xf>
    <xf numFmtId="1" fontId="77" fillId="35" borderId="0" xfId="0" applyNumberFormat="1" applyFont="1" applyFill="1" applyAlignment="1">
      <alignment horizontal="center" vertical="center" wrapText="1"/>
    </xf>
    <xf numFmtId="0" fontId="45" fillId="0" borderId="0" xfId="0" applyFont="1" applyAlignment="1">
      <alignment vertical="center"/>
    </xf>
    <xf numFmtId="3" fontId="46" fillId="0" borderId="0" xfId="0" applyNumberFormat="1" applyFont="1" applyAlignment="1">
      <alignment vertical="center"/>
    </xf>
    <xf numFmtId="0" fontId="76" fillId="0" borderId="0" xfId="0" applyFont="1" applyAlignment="1">
      <alignment vertical="center"/>
    </xf>
    <xf numFmtId="3" fontId="95" fillId="0" borderId="0" xfId="0" applyNumberFormat="1" applyFont="1" applyAlignment="1">
      <alignment horizontal="center" vertical="center"/>
    </xf>
    <xf numFmtId="3" fontId="95" fillId="37" borderId="0" xfId="0" applyNumberFormat="1" applyFont="1" applyFill="1" applyAlignment="1">
      <alignment horizontal="center" vertical="center"/>
    </xf>
    <xf numFmtId="0" fontId="82" fillId="0" borderId="0" xfId="184" applyFont="1" applyAlignment="1">
      <alignment horizontal="left" vertical="center"/>
    </xf>
    <xf numFmtId="4" fontId="46" fillId="34" borderId="0" xfId="0" applyNumberFormat="1" applyFont="1" applyFill="1" applyAlignment="1">
      <alignment horizontal="center" vertical="center" wrapText="1"/>
    </xf>
    <xf numFmtId="0" fontId="60" fillId="0" borderId="0" xfId="0" applyFont="1" applyAlignment="1">
      <alignment horizontal="left" vertical="top" wrapText="1"/>
    </xf>
    <xf numFmtId="0" fontId="147" fillId="0" borderId="12" xfId="0" applyFont="1" applyBorder="1" applyAlignment="1">
      <alignment horizontal="left" vertical="center" wrapText="1"/>
    </xf>
    <xf numFmtId="0" fontId="148" fillId="0" borderId="12" xfId="0" applyFont="1" applyBorder="1" applyAlignment="1">
      <alignment horizontal="left" vertical="center" wrapText="1"/>
    </xf>
    <xf numFmtId="9" fontId="46" fillId="39" borderId="17" xfId="132" applyNumberFormat="1" applyFont="1" applyFill="1" applyBorder="1" applyAlignment="1">
      <alignment horizontal="center" vertical="center"/>
    </xf>
    <xf numFmtId="1" fontId="46" fillId="35" borderId="0" xfId="0" applyNumberFormat="1" applyFont="1" applyFill="1" applyBorder="1" applyAlignment="1">
      <alignment horizontal="center" vertical="center" wrapText="1"/>
    </xf>
    <xf numFmtId="1" fontId="46" fillId="35" borderId="13" xfId="0" applyNumberFormat="1" applyFont="1" applyFill="1" applyBorder="1" applyAlignment="1">
      <alignment horizontal="center" vertical="center" wrapText="1"/>
    </xf>
    <xf numFmtId="1" fontId="46" fillId="35" borderId="17" xfId="0" applyNumberFormat="1" applyFont="1" applyFill="1" applyBorder="1" applyAlignment="1">
      <alignment horizontal="center" vertical="center" wrapText="1"/>
    </xf>
    <xf numFmtId="0" fontId="49" fillId="0" borderId="12" xfId="0" applyFont="1" applyBorder="1" applyAlignment="1">
      <alignment horizontal="left" vertical="center" wrapText="1"/>
    </xf>
    <xf numFmtId="10" fontId="49" fillId="39" borderId="132" xfId="132" applyNumberFormat="1" applyFont="1" applyFill="1" applyBorder="1" applyAlignment="1">
      <alignment horizontal="center" vertical="center"/>
    </xf>
    <xf numFmtId="0" fontId="80" fillId="0" borderId="0" xfId="0" applyFont="1" applyBorder="1" applyAlignment="1">
      <alignment vertical="center"/>
    </xf>
    <xf numFmtId="0" fontId="52" fillId="35" borderId="12" xfId="0" applyFont="1" applyFill="1" applyBorder="1" applyAlignment="1">
      <alignment horizontal="left" vertical="center" wrapText="1" indent="1"/>
    </xf>
    <xf numFmtId="0" fontId="52" fillId="35" borderId="12" xfId="0" applyFont="1" applyFill="1" applyBorder="1" applyAlignment="1">
      <alignment horizontal="center" vertical="center" wrapText="1"/>
    </xf>
    <xf numFmtId="0" fontId="52" fillId="35" borderId="15" xfId="0" applyFont="1" applyFill="1" applyBorder="1" applyAlignment="1">
      <alignment horizontal="center" vertical="center" wrapText="1"/>
    </xf>
    <xf numFmtId="1" fontId="150" fillId="0" borderId="0" xfId="0" applyNumberFormat="1" applyFont="1" applyBorder="1" applyAlignment="1">
      <alignment vertical="center"/>
    </xf>
    <xf numFmtId="0" fontId="50" fillId="0" borderId="119" xfId="0" applyFont="1" applyBorder="1" applyAlignment="1">
      <alignment horizontal="left" vertical="center" wrapText="1"/>
    </xf>
    <xf numFmtId="3" fontId="50" fillId="0" borderId="120" xfId="0" applyNumberFormat="1" applyFont="1" applyBorder="1" applyAlignment="1">
      <alignment horizontal="center" vertical="center"/>
    </xf>
    <xf numFmtId="3" fontId="50" fillId="37" borderId="120" xfId="0" applyNumberFormat="1" applyFont="1" applyFill="1" applyBorder="1" applyAlignment="1">
      <alignment horizontal="center" vertical="center"/>
    </xf>
    <xf numFmtId="3" fontId="50" fillId="43" borderId="121" xfId="0" applyNumberFormat="1" applyFont="1" applyFill="1" applyBorder="1" applyAlignment="1">
      <alignment horizontal="center" vertical="center"/>
    </xf>
    <xf numFmtId="202" fontId="46" fillId="0" borderId="0" xfId="0" applyNumberFormat="1" applyFont="1" applyBorder="1" applyAlignment="1">
      <alignment vertical="center"/>
    </xf>
    <xf numFmtId="4" fontId="46" fillId="0" borderId="0" xfId="186" applyNumberFormat="1" applyFont="1" applyBorder="1"/>
    <xf numFmtId="1" fontId="60" fillId="0" borderId="0" xfId="0" applyNumberFormat="1" applyFont="1" applyFill="1" applyBorder="1" applyAlignment="1">
      <alignment horizontal="left" vertical="top" wrapText="1"/>
    </xf>
    <xf numFmtId="3" fontId="47" fillId="0" borderId="0" xfId="0" applyNumberFormat="1" applyFont="1" applyFill="1"/>
    <xf numFmtId="0" fontId="48" fillId="0" borderId="12" xfId="186" applyFont="1" applyBorder="1" applyAlignment="1">
      <alignment horizontal="left" vertical="center" indent="1"/>
    </xf>
    <xf numFmtId="0" fontId="45" fillId="0" borderId="0" xfId="186" applyFont="1"/>
    <xf numFmtId="0" fontId="47" fillId="0" borderId="0" xfId="186" applyFont="1"/>
    <xf numFmtId="0" fontId="56" fillId="0" borderId="0" xfId="184" applyFont="1" applyAlignment="1">
      <alignment vertical="center"/>
    </xf>
    <xf numFmtId="0" fontId="62" fillId="0" borderId="0" xfId="184" applyFont="1"/>
    <xf numFmtId="0" fontId="56" fillId="0" borderId="0" xfId="184" applyFont="1" applyAlignment="1">
      <alignment horizontal="center" vertical="center"/>
    </xf>
    <xf numFmtId="0" fontId="60" fillId="0" borderId="0" xfId="184" applyFont="1" applyAlignment="1">
      <alignment horizontal="center" vertical="center"/>
    </xf>
    <xf numFmtId="0" fontId="83" fillId="0" borderId="0" xfId="186" applyFont="1" applyAlignment="1">
      <alignment horizontal="center" vertical="center" wrapText="1"/>
    </xf>
    <xf numFmtId="0" fontId="49" fillId="26" borderId="141" xfId="186" applyFont="1" applyFill="1" applyBorder="1" applyAlignment="1">
      <alignment horizontal="left" vertical="center"/>
    </xf>
    <xf numFmtId="173" fontId="49" fillId="26" borderId="92" xfId="186" applyNumberFormat="1" applyFont="1" applyFill="1" applyBorder="1" applyAlignment="1">
      <alignment horizontal="center" vertical="center" wrapText="1"/>
    </xf>
    <xf numFmtId="1" fontId="45" fillId="0" borderId="0" xfId="186" applyNumberFormat="1" applyFont="1"/>
    <xf numFmtId="0" fontId="46" fillId="0" borderId="0" xfId="186" applyFont="1"/>
    <xf numFmtId="3" fontId="49" fillId="0" borderId="0" xfId="186" applyNumberFormat="1" applyFont="1" applyAlignment="1">
      <alignment horizontal="center"/>
    </xf>
    <xf numFmtId="3" fontId="49" fillId="37" borderId="0" xfId="186" applyNumberFormat="1" applyFont="1" applyFill="1" applyAlignment="1">
      <alignment horizontal="center"/>
    </xf>
    <xf numFmtId="1" fontId="46" fillId="0" borderId="0" xfId="186" applyNumberFormat="1" applyFont="1"/>
    <xf numFmtId="3" fontId="92" fillId="41" borderId="0" xfId="186" applyNumberFormat="1" applyFont="1" applyFill="1" applyAlignment="1">
      <alignment horizontal="center"/>
    </xf>
    <xf numFmtId="3" fontId="92" fillId="41" borderId="13" xfId="186" applyNumberFormat="1" applyFont="1" applyFill="1" applyBorder="1" applyAlignment="1">
      <alignment horizontal="center"/>
    </xf>
    <xf numFmtId="3" fontId="92" fillId="40" borderId="17" xfId="186" applyNumberFormat="1" applyFont="1" applyFill="1" applyBorder="1" applyAlignment="1">
      <alignment horizontal="center"/>
    </xf>
    <xf numFmtId="0" fontId="92" fillId="41" borderId="0" xfId="186" applyFont="1" applyFill="1" applyAlignment="1">
      <alignment horizontal="center"/>
    </xf>
    <xf numFmtId="0" fontId="92" fillId="41" borderId="13" xfId="186" applyFont="1" applyFill="1" applyBorder="1" applyAlignment="1">
      <alignment horizontal="center"/>
    </xf>
    <xf numFmtId="0" fontId="92" fillId="40" borderId="17" xfId="186" applyFont="1" applyFill="1" applyBorder="1" applyAlignment="1">
      <alignment horizontal="center"/>
    </xf>
    <xf numFmtId="3" fontId="48" fillId="0" borderId="0" xfId="186" applyNumberFormat="1" applyFont="1" applyAlignment="1">
      <alignment horizontal="center"/>
    </xf>
    <xf numFmtId="3" fontId="94" fillId="41" borderId="0" xfId="186" applyNumberFormat="1" applyFont="1" applyFill="1" applyAlignment="1">
      <alignment horizontal="center"/>
    </xf>
    <xf numFmtId="3" fontId="94" fillId="41" borderId="13" xfId="186" applyNumberFormat="1" applyFont="1" applyFill="1" applyBorder="1" applyAlignment="1">
      <alignment horizontal="center"/>
    </xf>
    <xf numFmtId="3" fontId="94" fillId="40" borderId="17" xfId="186" applyNumberFormat="1" applyFont="1" applyFill="1" applyBorder="1" applyAlignment="1">
      <alignment horizontal="center"/>
    </xf>
    <xf numFmtId="3" fontId="48" fillId="37" borderId="0" xfId="186" applyNumberFormat="1" applyFont="1" applyFill="1" applyAlignment="1">
      <alignment horizontal="center"/>
    </xf>
    <xf numFmtId="194" fontId="49" fillId="0" borderId="89" xfId="353" applyNumberFormat="1" applyFont="1" applyFill="1" applyBorder="1" applyAlignment="1">
      <alignment horizontal="center"/>
    </xf>
    <xf numFmtId="194" fontId="49" fillId="37" borderId="89" xfId="353" applyNumberFormat="1" applyFont="1" applyFill="1" applyBorder="1" applyAlignment="1">
      <alignment horizontal="center"/>
    </xf>
    <xf numFmtId="194" fontId="49" fillId="39" borderId="97" xfId="353" applyNumberFormat="1" applyFont="1" applyFill="1" applyBorder="1" applyAlignment="1">
      <alignment horizontal="center"/>
    </xf>
    <xf numFmtId="0" fontId="71" fillId="0" borderId="0" xfId="186" applyFont="1"/>
    <xf numFmtId="0" fontId="50" fillId="0" borderId="0" xfId="186" applyFont="1"/>
    <xf numFmtId="195" fontId="62" fillId="0" borderId="0" xfId="184" applyNumberFormat="1" applyFont="1"/>
    <xf numFmtId="196" fontId="62" fillId="0" borderId="0" xfId="184" applyNumberFormat="1" applyFont="1"/>
    <xf numFmtId="174" fontId="62" fillId="0" borderId="0" xfId="184" applyNumberFormat="1" applyFont="1"/>
    <xf numFmtId="0" fontId="60" fillId="0" borderId="0" xfId="0" applyFont="1" applyAlignment="1">
      <alignment horizontal="left" vertical="top"/>
    </xf>
    <xf numFmtId="0" fontId="47" fillId="37" borderId="0" xfId="0" applyFont="1" applyFill="1" applyBorder="1" applyAlignment="1">
      <alignment vertical="center"/>
    </xf>
    <xf numFmtId="0" fontId="46" fillId="37" borderId="142" xfId="0" applyFont="1" applyFill="1" applyBorder="1" applyAlignment="1">
      <alignment horizontal="left" vertical="center" wrapText="1"/>
    </xf>
    <xf numFmtId="3" fontId="46" fillId="0" borderId="143" xfId="0" applyNumberFormat="1" applyFont="1" applyFill="1" applyBorder="1" applyAlignment="1">
      <alignment horizontal="center" vertical="center"/>
    </xf>
    <xf numFmtId="3" fontId="46" fillId="37" borderId="143" xfId="0" applyNumberFormat="1" applyFont="1" applyFill="1" applyBorder="1" applyAlignment="1">
      <alignment horizontal="center" vertical="center"/>
    </xf>
    <xf numFmtId="3" fontId="46" fillId="37" borderId="144" xfId="0" applyNumberFormat="1" applyFont="1" applyFill="1" applyBorder="1" applyAlignment="1">
      <alignment horizontal="center" vertical="center"/>
    </xf>
    <xf numFmtId="0" fontId="49" fillId="55" borderId="32" xfId="0" applyFont="1" applyFill="1" applyBorder="1" applyAlignment="1">
      <alignment horizontal="center" vertical="center" wrapText="1"/>
    </xf>
    <xf numFmtId="0" fontId="49" fillId="55" borderId="137" xfId="0" applyFont="1" applyFill="1" applyBorder="1" applyAlignment="1">
      <alignment horizontal="center" vertical="center" wrapText="1"/>
    </xf>
    <xf numFmtId="0" fontId="67" fillId="43" borderId="35" xfId="0" applyFont="1" applyFill="1" applyBorder="1" applyAlignment="1">
      <alignment horizontal="left" vertical="center" wrapText="1"/>
    </xf>
    <xf numFmtId="0" fontId="67" fillId="43" borderId="16" xfId="0" applyFont="1" applyFill="1" applyBorder="1" applyAlignment="1">
      <alignment horizontal="left" vertical="center" wrapText="1"/>
    </xf>
    <xf numFmtId="1" fontId="46" fillId="43" borderId="16" xfId="132" applyNumberFormat="1" applyFont="1" applyFill="1" applyBorder="1" applyAlignment="1">
      <alignment horizontal="center" vertical="center" wrapText="1"/>
    </xf>
    <xf numFmtId="1" fontId="46" fillId="43" borderId="98" xfId="132" applyNumberFormat="1" applyFont="1" applyFill="1" applyBorder="1" applyAlignment="1">
      <alignment horizontal="center" vertical="center" wrapText="1"/>
    </xf>
    <xf numFmtId="0" fontId="46" fillId="35" borderId="35" xfId="0" applyFont="1" applyFill="1" applyBorder="1" applyAlignment="1">
      <alignment horizontal="left" vertical="center" wrapText="1"/>
    </xf>
    <xf numFmtId="1" fontId="46" fillId="35" borderId="16" xfId="0" applyNumberFormat="1" applyFont="1" applyFill="1" applyBorder="1" applyAlignment="1">
      <alignment horizontal="center" vertical="center" wrapText="1"/>
    </xf>
    <xf numFmtId="1" fontId="46" fillId="35" borderId="98" xfId="0" applyNumberFormat="1" applyFont="1" applyFill="1" applyBorder="1" applyAlignment="1">
      <alignment horizontal="center" vertical="center" wrapText="1"/>
    </xf>
    <xf numFmtId="1" fontId="46" fillId="35" borderId="145" xfId="0" applyNumberFormat="1" applyFont="1" applyFill="1" applyBorder="1" applyAlignment="1">
      <alignment horizontal="center" vertical="center" wrapText="1"/>
    </xf>
    <xf numFmtId="0" fontId="60" fillId="0" borderId="0" xfId="0" applyFont="1" applyFill="1" applyBorder="1" applyAlignment="1">
      <alignment horizontal="left" vertical="top" wrapText="1"/>
    </xf>
    <xf numFmtId="3" fontId="48" fillId="39" borderId="17" xfId="0" applyNumberFormat="1" applyFont="1" applyFill="1" applyBorder="1" applyAlignment="1">
      <alignment horizontal="center"/>
    </xf>
    <xf numFmtId="3" fontId="46" fillId="34" borderId="17" xfId="0" applyNumberFormat="1" applyFont="1" applyFill="1" applyBorder="1" applyAlignment="1">
      <alignment horizontal="center" vertical="center"/>
    </xf>
    <xf numFmtId="3" fontId="49" fillId="39" borderId="17" xfId="0" applyNumberFormat="1" applyFont="1" applyFill="1" applyBorder="1" applyAlignment="1">
      <alignment horizontal="center"/>
    </xf>
    <xf numFmtId="3" fontId="46" fillId="34" borderId="97" xfId="0" applyNumberFormat="1" applyFont="1" applyFill="1" applyBorder="1" applyAlignment="1">
      <alignment horizontal="center" vertical="center"/>
    </xf>
    <xf numFmtId="1" fontId="77" fillId="35" borderId="0" xfId="0" applyNumberFormat="1" applyFont="1" applyFill="1" applyBorder="1" applyAlignment="1">
      <alignment horizontal="center" vertical="center" wrapText="1"/>
    </xf>
    <xf numFmtId="3" fontId="95" fillId="37" borderId="0" xfId="0" applyNumberFormat="1" applyFont="1" applyFill="1" applyBorder="1" applyAlignment="1">
      <alignment horizontal="center" vertical="center"/>
    </xf>
    <xf numFmtId="4" fontId="46" fillId="34" borderId="0" xfId="0" applyNumberFormat="1" applyFont="1" applyFill="1" applyBorder="1" applyAlignment="1">
      <alignment horizontal="center" vertical="center" wrapText="1"/>
    </xf>
    <xf numFmtId="37" fontId="52" fillId="35" borderId="46" xfId="0" applyNumberFormat="1" applyFont="1" applyFill="1" applyBorder="1" applyAlignment="1">
      <alignment horizontal="center" vertical="center" wrapText="1"/>
    </xf>
    <xf numFmtId="3" fontId="45" fillId="35" borderId="146" xfId="0" applyNumberFormat="1" applyFont="1" applyFill="1" applyBorder="1" applyAlignment="1">
      <alignment horizontal="center" vertical="center" wrapText="1"/>
    </xf>
    <xf numFmtId="37" fontId="52" fillId="35" borderId="48" xfId="0" applyNumberFormat="1" applyFont="1" applyFill="1" applyBorder="1" applyAlignment="1">
      <alignment horizontal="center" vertical="center" wrapText="1"/>
    </xf>
    <xf numFmtId="3" fontId="49" fillId="34" borderId="146" xfId="0" applyNumberFormat="1" applyFont="1" applyFill="1" applyBorder="1" applyAlignment="1">
      <alignment horizontal="center" vertical="center" wrapText="1"/>
    </xf>
    <xf numFmtId="4" fontId="46" fillId="34" borderId="46" xfId="0" applyNumberFormat="1" applyFont="1" applyFill="1" applyBorder="1" applyAlignment="1">
      <alignment horizontal="center" vertical="center" wrapText="1"/>
    </xf>
    <xf numFmtId="4" fontId="46" fillId="34" borderId="96" xfId="0" applyNumberFormat="1" applyFont="1" applyFill="1" applyBorder="1" applyAlignment="1">
      <alignment horizontal="center" vertical="center" wrapText="1"/>
    </xf>
    <xf numFmtId="3" fontId="49" fillId="34" borderId="99" xfId="0" applyNumberFormat="1" applyFont="1" applyFill="1" applyBorder="1" applyAlignment="1">
      <alignment horizontal="center" vertical="center" wrapText="1"/>
    </xf>
    <xf numFmtId="1" fontId="45" fillId="39" borderId="147" xfId="0" applyNumberFormat="1" applyFont="1" applyFill="1" applyBorder="1" applyAlignment="1">
      <alignment horizontal="center" vertical="center"/>
    </xf>
    <xf numFmtId="1" fontId="45" fillId="39" borderId="46" xfId="0" applyNumberFormat="1" applyFont="1" applyFill="1" applyBorder="1" applyAlignment="1">
      <alignment horizontal="center" vertical="center"/>
    </xf>
    <xf numFmtId="1" fontId="45" fillId="39" borderId="42" xfId="0" applyNumberFormat="1" applyFont="1" applyFill="1" applyBorder="1" applyAlignment="1">
      <alignment horizontal="center" vertical="center" wrapText="1"/>
    </xf>
    <xf numFmtId="1" fontId="46" fillId="43" borderId="96" xfId="132" applyNumberFormat="1" applyFont="1" applyFill="1" applyBorder="1" applyAlignment="1">
      <alignment horizontal="center" vertical="center" wrapText="1"/>
    </xf>
    <xf numFmtId="3" fontId="92" fillId="41" borderId="0" xfId="186" applyNumberFormat="1" applyFont="1" applyFill="1" applyBorder="1" applyAlignment="1">
      <alignment horizontal="center"/>
    </xf>
    <xf numFmtId="0" fontId="92" fillId="41" borderId="0" xfId="186" applyFont="1" applyFill="1" applyBorder="1" applyAlignment="1">
      <alignment horizontal="center"/>
    </xf>
    <xf numFmtId="3" fontId="94" fillId="41" borderId="0" xfId="186" applyNumberFormat="1" applyFont="1" applyFill="1" applyBorder="1" applyAlignment="1">
      <alignment horizontal="center"/>
    </xf>
    <xf numFmtId="0" fontId="0" fillId="37" borderId="91" xfId="0" applyFill="1" applyBorder="1"/>
    <xf numFmtId="0" fontId="3" fillId="37" borderId="91" xfId="0" applyFont="1" applyFill="1" applyBorder="1" applyAlignment="1">
      <alignment horizontal="center"/>
    </xf>
    <xf numFmtId="3" fontId="49" fillId="37" borderId="130" xfId="0" applyNumberFormat="1" applyFont="1" applyFill="1" applyBorder="1" applyAlignment="1">
      <alignment horizontal="center" vertical="center"/>
    </xf>
    <xf numFmtId="169" fontId="49" fillId="37" borderId="89" xfId="132" applyNumberFormat="1" applyFont="1" applyFill="1" applyBorder="1" applyAlignment="1">
      <alignment horizontal="center" vertical="center"/>
    </xf>
    <xf numFmtId="9" fontId="46" fillId="37" borderId="13" xfId="132" applyNumberFormat="1" applyFont="1" applyFill="1" applyBorder="1" applyAlignment="1">
      <alignment horizontal="center" vertical="center"/>
    </xf>
    <xf numFmtId="10" fontId="49" fillId="37" borderId="133" xfId="132" applyNumberFormat="1" applyFont="1" applyFill="1" applyBorder="1" applyAlignment="1">
      <alignment horizontal="center" vertical="center"/>
    </xf>
    <xf numFmtId="199" fontId="46" fillId="0" borderId="0" xfId="0" applyNumberFormat="1" applyFont="1" applyBorder="1" applyAlignment="1">
      <alignment vertical="center"/>
    </xf>
    <xf numFmtId="194" fontId="46" fillId="0" borderId="0" xfId="187" applyNumberFormat="1" applyFont="1" applyBorder="1" applyAlignment="1">
      <alignment vertical="center"/>
    </xf>
    <xf numFmtId="194" fontId="46" fillId="0" borderId="0" xfId="0" applyNumberFormat="1" applyFont="1" applyBorder="1" applyAlignment="1">
      <alignment vertical="center"/>
    </xf>
    <xf numFmtId="3" fontId="62" fillId="0" borderId="0" xfId="184" applyNumberFormat="1" applyFont="1" applyAlignment="1" applyProtection="1">
      <alignment vertical="center"/>
    </xf>
    <xf numFmtId="9" fontId="150" fillId="0" borderId="0" xfId="132" applyFont="1" applyAlignment="1" applyProtection="1">
      <alignment vertical="center"/>
    </xf>
    <xf numFmtId="3" fontId="62" fillId="0" borderId="0" xfId="184" applyNumberFormat="1" applyFont="1" applyFill="1" applyAlignment="1" applyProtection="1">
      <alignment vertical="center"/>
    </xf>
    <xf numFmtId="9" fontId="62" fillId="0" borderId="0" xfId="132" applyFont="1" applyFill="1" applyAlignment="1" applyProtection="1">
      <alignment vertical="center"/>
    </xf>
    <xf numFmtId="194" fontId="46" fillId="0" borderId="0" xfId="187" applyNumberFormat="1" applyFont="1" applyBorder="1"/>
    <xf numFmtId="43" fontId="46" fillId="0" borderId="0" xfId="186" applyNumberFormat="1" applyFont="1" applyBorder="1"/>
    <xf numFmtId="203" fontId="46" fillId="0" borderId="0" xfId="186" applyNumberFormat="1" applyFont="1" applyBorder="1"/>
    <xf numFmtId="170" fontId="46" fillId="0" borderId="0" xfId="186" applyNumberFormat="1" applyFont="1" applyBorder="1"/>
    <xf numFmtId="9" fontId="150" fillId="0" borderId="0" xfId="132" applyFont="1" applyProtection="1"/>
    <xf numFmtId="194" fontId="45" fillId="0" borderId="0" xfId="187" applyNumberFormat="1" applyFont="1" applyFill="1" applyBorder="1" applyAlignment="1"/>
    <xf numFmtId="204" fontId="45" fillId="0" borderId="0" xfId="187" applyNumberFormat="1" applyFont="1" applyFill="1" applyBorder="1" applyAlignment="1"/>
    <xf numFmtId="43" fontId="45" fillId="0" borderId="0" xfId="0" applyNumberFormat="1" applyFont="1" applyFill="1" applyBorder="1" applyAlignment="1"/>
    <xf numFmtId="205" fontId="60" fillId="0" borderId="0" xfId="0" applyNumberFormat="1" applyFont="1" applyFill="1" applyBorder="1" applyAlignment="1">
      <alignment horizontal="left" vertical="top" wrapText="1"/>
    </xf>
    <xf numFmtId="0" fontId="46" fillId="37" borderId="109" xfId="0" applyFont="1" applyFill="1" applyBorder="1" applyAlignment="1">
      <alignment vertical="center"/>
    </xf>
    <xf numFmtId="3" fontId="46" fillId="39" borderId="83" xfId="0" applyNumberFormat="1" applyFont="1" applyFill="1" applyBorder="1" applyAlignment="1">
      <alignment horizontal="center" vertical="center"/>
    </xf>
    <xf numFmtId="169" fontId="46" fillId="42" borderId="91" xfId="132" applyNumberFormat="1" applyFont="1" applyFill="1" applyBorder="1" applyAlignment="1">
      <alignment horizontal="center" vertical="center" wrapText="1"/>
    </xf>
    <xf numFmtId="169" fontId="46" fillId="39" borderId="80" xfId="132" applyNumberFormat="1" applyFont="1" applyFill="1" applyBorder="1" applyAlignment="1">
      <alignment horizontal="center" vertical="center"/>
    </xf>
    <xf numFmtId="169" fontId="46" fillId="39" borderId="65" xfId="132" applyNumberFormat="1" applyFont="1" applyFill="1" applyBorder="1" applyAlignment="1">
      <alignment horizontal="center" vertical="center"/>
    </xf>
    <xf numFmtId="169" fontId="46" fillId="44" borderId="65" xfId="132" applyNumberFormat="1" applyFont="1" applyFill="1" applyBorder="1" applyAlignment="1">
      <alignment horizontal="center" vertical="center"/>
    </xf>
    <xf numFmtId="0" fontId="60" fillId="0" borderId="0" xfId="0" applyFont="1" applyFill="1" applyBorder="1" applyAlignment="1">
      <alignment horizontal="left" vertical="top" wrapText="1"/>
    </xf>
    <xf numFmtId="3" fontId="48" fillId="37" borderId="148" xfId="0" applyNumberFormat="1" applyFont="1" applyFill="1" applyBorder="1" applyAlignment="1">
      <alignment horizontal="center" vertical="center" wrapText="1"/>
    </xf>
    <xf numFmtId="3" fontId="48" fillId="37" borderId="148" xfId="0" applyNumberFormat="1" applyFont="1" applyFill="1" applyBorder="1" applyAlignment="1">
      <alignment horizontal="center" vertical="center"/>
    </xf>
    <xf numFmtId="3" fontId="48" fillId="37" borderId="149" xfId="0" applyNumberFormat="1" applyFont="1" applyFill="1" applyBorder="1" applyAlignment="1">
      <alignment horizontal="center" vertical="center"/>
    </xf>
    <xf numFmtId="199" fontId="48" fillId="37" borderId="149" xfId="0" applyNumberFormat="1" applyFont="1" applyFill="1" applyBorder="1" applyAlignment="1">
      <alignment horizontal="center" vertical="center"/>
    </xf>
    <xf numFmtId="0" fontId="94" fillId="37" borderId="148" xfId="0" applyFont="1" applyFill="1" applyBorder="1" applyAlignment="1">
      <alignment horizontal="center" vertical="center" wrapText="1"/>
    </xf>
    <xf numFmtId="173" fontId="49" fillId="26" borderId="92" xfId="0" applyNumberFormat="1" applyFont="1" applyFill="1" applyBorder="1" applyAlignment="1">
      <alignment horizontal="center" vertical="center" wrapText="1"/>
    </xf>
    <xf numFmtId="0" fontId="94" fillId="39" borderId="17" xfId="0" applyFont="1" applyFill="1" applyBorder="1" applyAlignment="1">
      <alignment horizontal="center" vertical="center" wrapText="1"/>
    </xf>
    <xf numFmtId="0" fontId="94" fillId="39" borderId="150" xfId="0" applyFont="1" applyFill="1" applyBorder="1" applyAlignment="1">
      <alignment horizontal="center" vertical="center" wrapText="1"/>
    </xf>
    <xf numFmtId="0" fontId="94" fillId="37" borderId="151" xfId="0" applyFont="1" applyFill="1" applyBorder="1" applyAlignment="1">
      <alignment horizontal="center" vertical="center" wrapText="1"/>
    </xf>
    <xf numFmtId="199" fontId="48" fillId="37" borderId="152" xfId="0" applyNumberFormat="1" applyFont="1" applyFill="1" applyBorder="1" applyAlignment="1">
      <alignment horizontal="center" vertical="center"/>
    </xf>
    <xf numFmtId="3" fontId="48" fillId="37" borderId="152" xfId="0" applyNumberFormat="1" applyFont="1" applyFill="1" applyBorder="1" applyAlignment="1">
      <alignment horizontal="center" vertical="center"/>
    </xf>
    <xf numFmtId="0" fontId="0" fillId="37" borderId="149" xfId="0" applyFill="1" applyBorder="1"/>
    <xf numFmtId="0" fontId="146" fillId="37" borderId="149" xfId="0" applyFont="1" applyFill="1" applyBorder="1" applyAlignment="1">
      <alignment horizontal="center"/>
    </xf>
    <xf numFmtId="0" fontId="0" fillId="37" borderId="153" xfId="0" applyFill="1" applyBorder="1"/>
    <xf numFmtId="0" fontId="146" fillId="37" borderId="153" xfId="0" applyFont="1" applyFill="1" applyBorder="1" applyAlignment="1">
      <alignment horizontal="center"/>
    </xf>
    <xf numFmtId="194" fontId="49" fillId="37" borderId="148" xfId="353" applyNumberFormat="1" applyFont="1" applyFill="1" applyBorder="1" applyAlignment="1">
      <alignment horizontal="center"/>
    </xf>
    <xf numFmtId="194" fontId="49" fillId="37" borderId="151" xfId="353" applyNumberFormat="1" applyFont="1" applyFill="1" applyBorder="1" applyAlignment="1">
      <alignment horizontal="center"/>
    </xf>
    <xf numFmtId="3" fontId="48" fillId="37" borderId="149" xfId="186" applyNumberFormat="1" applyFont="1" applyFill="1" applyBorder="1" applyAlignment="1">
      <alignment horizontal="center"/>
    </xf>
    <xf numFmtId="3" fontId="48" fillId="37" borderId="148" xfId="186" applyNumberFormat="1" applyFont="1" applyFill="1" applyBorder="1" applyAlignment="1">
      <alignment horizontal="center"/>
    </xf>
    <xf numFmtId="0" fontId="50" fillId="37" borderId="0" xfId="186" applyFont="1" applyFill="1" applyBorder="1"/>
    <xf numFmtId="3" fontId="48" fillId="37" borderId="152" xfId="186" applyNumberFormat="1" applyFont="1" applyFill="1" applyBorder="1" applyAlignment="1">
      <alignment horizontal="center"/>
    </xf>
    <xf numFmtId="3" fontId="48" fillId="37" borderId="151" xfId="186" applyNumberFormat="1" applyFont="1" applyFill="1" applyBorder="1" applyAlignment="1">
      <alignment horizontal="center"/>
    </xf>
    <xf numFmtId="169" fontId="49" fillId="37" borderId="148" xfId="132" applyNumberFormat="1" applyFont="1" applyFill="1" applyBorder="1" applyAlignment="1">
      <alignment horizontal="center"/>
    </xf>
    <xf numFmtId="169" fontId="49" fillId="37" borderId="151" xfId="132" applyNumberFormat="1" applyFont="1" applyFill="1" applyBorder="1" applyAlignment="1">
      <alignment horizontal="center"/>
    </xf>
    <xf numFmtId="169" fontId="49" fillId="39" borderId="150" xfId="132" applyNumberFormat="1" applyFont="1" applyFill="1" applyBorder="1" applyAlignment="1">
      <alignment horizontal="center"/>
    </xf>
    <xf numFmtId="37" fontId="52" fillId="35" borderId="15" xfId="0" applyNumberFormat="1" applyFont="1" applyFill="1" applyBorder="1" applyAlignment="1">
      <alignment horizontal="center" vertical="center" wrapText="1"/>
    </xf>
    <xf numFmtId="3" fontId="45" fillId="35" borderId="148" xfId="0" applyNumberFormat="1" applyFont="1" applyFill="1" applyBorder="1" applyAlignment="1">
      <alignment horizontal="center" vertical="center" wrapText="1"/>
    </xf>
    <xf numFmtId="3" fontId="45" fillId="37" borderId="51" xfId="0" applyNumberFormat="1" applyFont="1" applyFill="1" applyBorder="1" applyAlignment="1">
      <alignment horizontal="center" vertical="center"/>
    </xf>
    <xf numFmtId="0" fontId="46" fillId="0" borderId="49" xfId="0" applyFont="1" applyBorder="1" applyAlignment="1">
      <alignment horizontal="left"/>
    </xf>
    <xf numFmtId="3" fontId="45" fillId="35" borderId="151" xfId="0" applyNumberFormat="1" applyFont="1" applyFill="1" applyBorder="1" applyAlignment="1">
      <alignment horizontal="center" vertical="center" wrapText="1"/>
    </xf>
    <xf numFmtId="0" fontId="45" fillId="0" borderId="13" xfId="0" applyFont="1" applyBorder="1" applyAlignment="1">
      <alignment vertical="center"/>
    </xf>
    <xf numFmtId="9" fontId="51" fillId="37" borderId="148" xfId="0" applyNumberFormat="1" applyFont="1" applyFill="1" applyBorder="1" applyAlignment="1">
      <alignment horizontal="center" vertical="center"/>
    </xf>
    <xf numFmtId="3" fontId="46" fillId="37" borderId="149" xfId="67" applyNumberFormat="1" applyFont="1" applyFill="1" applyBorder="1" applyAlignment="1">
      <alignment horizontal="center" vertical="center"/>
    </xf>
    <xf numFmtId="9" fontId="51" fillId="37" borderId="151" xfId="0" applyNumberFormat="1" applyFont="1" applyFill="1" applyBorder="1" applyAlignment="1">
      <alignment horizontal="center" vertical="center"/>
    </xf>
    <xf numFmtId="3" fontId="46" fillId="39" borderId="17" xfId="67" applyNumberFormat="1" applyFont="1" applyFill="1" applyBorder="1" applyAlignment="1">
      <alignment horizontal="center" vertical="center"/>
    </xf>
    <xf numFmtId="3" fontId="46" fillId="39" borderId="154" xfId="67" applyNumberFormat="1" applyFont="1" applyFill="1" applyBorder="1" applyAlignment="1">
      <alignment horizontal="center" vertical="center"/>
    </xf>
    <xf numFmtId="3" fontId="46" fillId="37" borderId="152" xfId="67" applyNumberFormat="1" applyFont="1" applyFill="1" applyBorder="1" applyAlignment="1">
      <alignment horizontal="center" vertical="center"/>
    </xf>
    <xf numFmtId="3" fontId="46" fillId="34" borderId="148" xfId="0" applyNumberFormat="1" applyFont="1" applyFill="1" applyBorder="1" applyAlignment="1">
      <alignment horizontal="center" vertical="center"/>
    </xf>
    <xf numFmtId="3" fontId="46" fillId="34" borderId="151" xfId="0" applyNumberFormat="1" applyFont="1" applyFill="1" applyBorder="1" applyAlignment="1">
      <alignment horizontal="center" vertical="center"/>
    </xf>
    <xf numFmtId="3" fontId="49" fillId="37" borderId="105" xfId="0" applyNumberFormat="1" applyFont="1" applyFill="1" applyBorder="1" applyAlignment="1">
      <alignment horizontal="center" vertical="center"/>
    </xf>
    <xf numFmtId="3" fontId="46" fillId="37" borderId="148" xfId="0" applyNumberFormat="1" applyFont="1" applyFill="1" applyBorder="1" applyAlignment="1">
      <alignment horizontal="center" vertical="center"/>
    </xf>
    <xf numFmtId="9" fontId="46" fillId="37" borderId="0" xfId="132" applyNumberFormat="1" applyFont="1" applyFill="1" applyBorder="1" applyAlignment="1">
      <alignment horizontal="center" vertical="center"/>
    </xf>
    <xf numFmtId="10" fontId="49" fillId="37" borderId="107" xfId="132" applyNumberFormat="1" applyFont="1" applyFill="1" applyBorder="1" applyAlignment="1">
      <alignment horizontal="center" vertical="center"/>
    </xf>
    <xf numFmtId="169" fontId="46" fillId="37" borderId="87" xfId="132" applyNumberFormat="1" applyFont="1" applyFill="1" applyBorder="1" applyAlignment="1">
      <alignment horizontal="center" vertical="center"/>
    </xf>
    <xf numFmtId="169" fontId="46" fillId="39" borderId="150" xfId="132" applyNumberFormat="1" applyFont="1" applyFill="1" applyBorder="1" applyAlignment="1">
      <alignment horizontal="center" vertical="center"/>
    </xf>
    <xf numFmtId="169" fontId="46" fillId="37" borderId="151" xfId="132" applyNumberFormat="1" applyFont="1" applyFill="1" applyBorder="1" applyAlignment="1">
      <alignment horizontal="center" vertical="center"/>
    </xf>
    <xf numFmtId="3" fontId="46" fillId="37" borderId="131" xfId="67" applyNumberFormat="1" applyFont="1" applyFill="1" applyBorder="1" applyAlignment="1">
      <alignment horizontal="center" vertical="center"/>
    </xf>
    <xf numFmtId="3" fontId="46" fillId="37" borderId="151" xfId="0" applyNumberFormat="1" applyFont="1" applyFill="1" applyBorder="1" applyAlignment="1">
      <alignment horizontal="center" vertical="center"/>
    </xf>
    <xf numFmtId="0" fontId="50" fillId="37" borderId="111" xfId="0" applyFont="1" applyFill="1" applyBorder="1" applyAlignment="1">
      <alignment horizontal="center" vertical="center"/>
    </xf>
    <xf numFmtId="1" fontId="144" fillId="37" borderId="126" xfId="0" applyNumberFormat="1" applyFont="1" applyFill="1" applyBorder="1" applyAlignment="1">
      <alignment horizontal="center" vertical="center" wrapText="1"/>
    </xf>
    <xf numFmtId="3" fontId="50" fillId="43" borderId="112" xfId="67" applyNumberFormat="1" applyFont="1" applyFill="1" applyBorder="1" applyAlignment="1">
      <alignment horizontal="center" vertical="center"/>
    </xf>
    <xf numFmtId="3" fontId="50" fillId="43" borderId="0" xfId="0" applyNumberFormat="1" applyFont="1" applyFill="1" applyBorder="1" applyAlignment="1">
      <alignment horizontal="center" vertical="center"/>
    </xf>
    <xf numFmtId="3" fontId="50" fillId="43" borderId="0" xfId="67" applyNumberFormat="1" applyFont="1" applyFill="1" applyBorder="1" applyAlignment="1">
      <alignment horizontal="center" vertical="center"/>
    </xf>
    <xf numFmtId="0" fontId="45" fillId="0" borderId="157" xfId="0" applyFont="1" applyBorder="1" applyAlignment="1">
      <alignment horizontal="left" vertical="center" wrapText="1"/>
    </xf>
    <xf numFmtId="3" fontId="45" fillId="0" borderId="158" xfId="0" applyNumberFormat="1" applyFont="1" applyFill="1" applyBorder="1" applyAlignment="1">
      <alignment horizontal="center" vertical="center"/>
    </xf>
    <xf numFmtId="3" fontId="45" fillId="37" borderId="158" xfId="0" applyNumberFormat="1" applyFont="1" applyFill="1" applyBorder="1" applyAlignment="1">
      <alignment horizontal="center" vertical="center"/>
    </xf>
    <xf numFmtId="3" fontId="45" fillId="37" borderId="159" xfId="0" applyNumberFormat="1" applyFont="1" applyFill="1" applyBorder="1" applyAlignment="1">
      <alignment horizontal="center" vertical="center"/>
    </xf>
    <xf numFmtId="3" fontId="50" fillId="0" borderId="160" xfId="67" applyNumberFormat="1" applyFont="1" applyBorder="1" applyAlignment="1">
      <alignment horizontal="center" vertical="center"/>
    </xf>
    <xf numFmtId="3" fontId="50" fillId="37" borderId="160" xfId="67" applyNumberFormat="1" applyFont="1" applyFill="1" applyBorder="1" applyAlignment="1">
      <alignment horizontal="center" vertical="center"/>
    </xf>
    <xf numFmtId="1" fontId="49" fillId="54" borderId="161" xfId="0" applyNumberFormat="1" applyFont="1" applyFill="1" applyBorder="1" applyAlignment="1">
      <alignment horizontal="center" vertical="center" wrapText="1"/>
    </xf>
    <xf numFmtId="3" fontId="50" fillId="43" borderId="161" xfId="67" applyNumberFormat="1" applyFont="1" applyFill="1" applyBorder="1" applyAlignment="1">
      <alignment horizontal="center" vertical="center"/>
    </xf>
    <xf numFmtId="171" fontId="46" fillId="37" borderId="0" xfId="0" applyNumberFormat="1" applyFont="1" applyFill="1" applyBorder="1" applyAlignment="1">
      <alignment vertical="center"/>
    </xf>
    <xf numFmtId="206" fontId="46" fillId="34" borderId="0" xfId="0" applyNumberFormat="1" applyFont="1" applyFill="1" applyBorder="1" applyAlignment="1">
      <alignment horizontal="center" vertical="center"/>
    </xf>
    <xf numFmtId="199" fontId="46" fillId="37" borderId="108" xfId="0" applyNumberFormat="1" applyFont="1" applyFill="1" applyBorder="1" applyAlignment="1">
      <alignment horizontal="center" vertical="center"/>
    </xf>
    <xf numFmtId="3" fontId="82" fillId="0" borderId="0" xfId="184" applyNumberFormat="1" applyFont="1" applyAlignment="1">
      <alignment horizontal="left" vertical="center"/>
    </xf>
    <xf numFmtId="0" fontId="52" fillId="35" borderId="33" xfId="0" applyFont="1" applyFill="1" applyBorder="1" applyAlignment="1">
      <alignment horizontal="left" vertical="center" wrapText="1"/>
    </xf>
    <xf numFmtId="3" fontId="52" fillId="35" borderId="162" xfId="0" applyNumberFormat="1" applyFont="1" applyFill="1" applyBorder="1" applyAlignment="1">
      <alignment horizontal="center" vertical="center" wrapText="1"/>
    </xf>
    <xf numFmtId="1" fontId="49" fillId="54" borderId="163" xfId="0" applyNumberFormat="1" applyFont="1" applyFill="1" applyBorder="1" applyAlignment="1">
      <alignment horizontal="center" vertical="center" wrapText="1"/>
    </xf>
    <xf numFmtId="0" fontId="80" fillId="37" borderId="0" xfId="0" applyFont="1" applyFill="1" applyBorder="1" applyAlignment="1">
      <alignment horizontal="left" vertical="center" wrapText="1"/>
    </xf>
    <xf numFmtId="0" fontId="46" fillId="26" borderId="164" xfId="0" applyFont="1" applyFill="1" applyBorder="1" applyAlignment="1">
      <alignment horizontal="center" vertical="center" wrapText="1"/>
    </xf>
    <xf numFmtId="3" fontId="45" fillId="39" borderId="165" xfId="67" applyNumberFormat="1" applyFont="1" applyFill="1" applyBorder="1" applyAlignment="1">
      <alignment horizontal="center" vertical="center"/>
    </xf>
    <xf numFmtId="3" fontId="46" fillId="39" borderId="165" xfId="67" applyNumberFormat="1" applyFont="1" applyFill="1" applyBorder="1" applyAlignment="1">
      <alignment horizontal="center" vertical="center"/>
    </xf>
    <xf numFmtId="0" fontId="46" fillId="26" borderId="167" xfId="0" applyFont="1" applyFill="1" applyBorder="1" applyAlignment="1">
      <alignment horizontal="center" vertical="center" wrapText="1"/>
    </xf>
    <xf numFmtId="3" fontId="45" fillId="39" borderId="168" xfId="67" applyNumberFormat="1" applyFont="1" applyFill="1" applyBorder="1" applyAlignment="1">
      <alignment horizontal="center" vertical="center"/>
    </xf>
    <xf numFmtId="3" fontId="46" fillId="39" borderId="169" xfId="67" applyNumberFormat="1" applyFont="1" applyFill="1" applyBorder="1" applyAlignment="1">
      <alignment horizontal="center" vertical="center"/>
    </xf>
    <xf numFmtId="3" fontId="46" fillId="39" borderId="168" xfId="67" applyNumberFormat="1" applyFont="1" applyFill="1" applyBorder="1" applyAlignment="1">
      <alignment horizontal="center" vertical="center"/>
    </xf>
    <xf numFmtId="3" fontId="46" fillId="39" borderId="167" xfId="67" applyNumberFormat="1" applyFont="1" applyFill="1" applyBorder="1" applyAlignment="1">
      <alignment horizontal="center" vertical="center"/>
    </xf>
    <xf numFmtId="3" fontId="49" fillId="39" borderId="170" xfId="0" applyNumberFormat="1" applyFont="1" applyFill="1" applyBorder="1" applyAlignment="1">
      <alignment horizontal="center" vertical="center"/>
    </xf>
    <xf numFmtId="3" fontId="45" fillId="39" borderId="168" xfId="0" applyNumberFormat="1" applyFont="1" applyFill="1" applyBorder="1" applyAlignment="1">
      <alignment horizontal="center" vertical="center"/>
    </xf>
    <xf numFmtId="3" fontId="45" fillId="39" borderId="171" xfId="0" applyNumberFormat="1" applyFont="1" applyFill="1" applyBorder="1" applyAlignment="1">
      <alignment horizontal="center" vertical="center"/>
    </xf>
    <xf numFmtId="3" fontId="45" fillId="39" borderId="170" xfId="0" applyNumberFormat="1" applyFont="1" applyFill="1" applyBorder="1" applyAlignment="1">
      <alignment horizontal="center" vertical="center"/>
    </xf>
    <xf numFmtId="3" fontId="46" fillId="39" borderId="172" xfId="0" applyNumberFormat="1" applyFont="1" applyFill="1" applyBorder="1" applyAlignment="1">
      <alignment horizontal="center" vertical="center"/>
    </xf>
    <xf numFmtId="3" fontId="46" fillId="39" borderId="173" xfId="0" applyNumberFormat="1" applyFont="1" applyFill="1" applyBorder="1" applyAlignment="1">
      <alignment horizontal="center" vertical="center"/>
    </xf>
    <xf numFmtId="173" fontId="46" fillId="26" borderId="164" xfId="0" applyNumberFormat="1" applyFont="1" applyFill="1" applyBorder="1" applyAlignment="1">
      <alignment horizontal="center" vertical="center" wrapText="1"/>
    </xf>
    <xf numFmtId="3" fontId="46" fillId="39" borderId="174" xfId="67" applyNumberFormat="1" applyFont="1" applyFill="1" applyBorder="1" applyAlignment="1">
      <alignment horizontal="center" vertical="center"/>
    </xf>
    <xf numFmtId="173" fontId="46" fillId="26" borderId="167" xfId="0" applyNumberFormat="1" applyFont="1" applyFill="1" applyBorder="1" applyAlignment="1">
      <alignment horizontal="center" vertical="center" wrapText="1"/>
    </xf>
    <xf numFmtId="3" fontId="46" fillId="39" borderId="175" xfId="67" applyNumberFormat="1" applyFont="1" applyFill="1" applyBorder="1" applyAlignment="1">
      <alignment horizontal="center" vertical="center"/>
    </xf>
    <xf numFmtId="43" fontId="46" fillId="0" borderId="0" xfId="187" applyFont="1" applyBorder="1" applyAlignment="1">
      <alignment vertical="center"/>
    </xf>
    <xf numFmtId="43" fontId="46" fillId="59" borderId="0" xfId="187" applyFont="1" applyFill="1" applyBorder="1" applyAlignment="1">
      <alignment vertical="center"/>
    </xf>
    <xf numFmtId="0" fontId="80" fillId="37" borderId="0" xfId="0" applyFont="1" applyFill="1" applyBorder="1" applyAlignment="1">
      <alignment horizontal="left" vertical="center" wrapText="1"/>
    </xf>
    <xf numFmtId="0" fontId="60" fillId="0" borderId="0" xfId="0" applyFont="1" applyAlignment="1">
      <alignment horizontal="left" vertical="top" wrapText="1"/>
    </xf>
    <xf numFmtId="0" fontId="60" fillId="0" borderId="0" xfId="0" applyFont="1" applyFill="1" applyBorder="1" applyAlignment="1">
      <alignment horizontal="left" vertical="top" wrapText="1"/>
    </xf>
    <xf numFmtId="173" fontId="49" fillId="26" borderId="167" xfId="0" applyNumberFormat="1" applyFont="1" applyFill="1" applyBorder="1" applyAlignment="1">
      <alignment horizontal="center" vertical="center" wrapText="1"/>
    </xf>
    <xf numFmtId="3" fontId="49" fillId="39" borderId="168" xfId="0" applyNumberFormat="1" applyFont="1" applyFill="1" applyBorder="1" applyAlignment="1">
      <alignment horizontal="center" vertical="center"/>
    </xf>
    <xf numFmtId="3" fontId="49" fillId="39" borderId="176" xfId="0" applyNumberFormat="1" applyFont="1" applyFill="1" applyBorder="1" applyAlignment="1">
      <alignment horizontal="center" vertical="center"/>
    </xf>
    <xf numFmtId="3" fontId="48" fillId="39" borderId="167" xfId="0" applyNumberFormat="1" applyFont="1" applyFill="1" applyBorder="1" applyAlignment="1">
      <alignment horizontal="center" vertical="center" wrapText="1"/>
    </xf>
    <xf numFmtId="3" fontId="48" fillId="39" borderId="172" xfId="0" applyNumberFormat="1" applyFont="1" applyFill="1" applyBorder="1" applyAlignment="1">
      <alignment horizontal="center" vertical="center" wrapText="1"/>
    </xf>
    <xf numFmtId="3" fontId="49" fillId="39" borderId="177" xfId="0" applyNumberFormat="1" applyFont="1" applyFill="1" applyBorder="1" applyAlignment="1">
      <alignment horizontal="center" vertical="center"/>
    </xf>
    <xf numFmtId="3" fontId="48" fillId="39" borderId="168" xfId="0" applyNumberFormat="1" applyFont="1" applyFill="1" applyBorder="1" applyAlignment="1">
      <alignment horizontal="center" vertical="center"/>
    </xf>
    <xf numFmtId="3" fontId="48" fillId="39" borderId="177" xfId="0" applyNumberFormat="1" applyFont="1" applyFill="1" applyBorder="1" applyAlignment="1">
      <alignment horizontal="center" vertical="center"/>
    </xf>
    <xf numFmtId="3" fontId="48" fillId="39" borderId="172" xfId="0" applyNumberFormat="1" applyFont="1" applyFill="1" applyBorder="1" applyAlignment="1">
      <alignment horizontal="center" vertical="center"/>
    </xf>
    <xf numFmtId="3" fontId="48" fillId="39" borderId="168" xfId="0" applyNumberFormat="1" applyFont="1" applyFill="1" applyBorder="1" applyAlignment="1">
      <alignment horizontal="center" vertical="center" wrapText="1"/>
    </xf>
    <xf numFmtId="3" fontId="52" fillId="35" borderId="178" xfId="0" applyNumberFormat="1" applyFont="1" applyFill="1" applyBorder="1" applyAlignment="1">
      <alignment horizontal="center" vertical="center" wrapText="1"/>
    </xf>
    <xf numFmtId="3" fontId="45" fillId="35" borderId="150" xfId="0" applyNumberFormat="1" applyFont="1" applyFill="1" applyBorder="1" applyAlignment="1">
      <alignment horizontal="center" vertical="center" wrapText="1"/>
    </xf>
    <xf numFmtId="3" fontId="45" fillId="39" borderId="13" xfId="0" applyNumberFormat="1" applyFont="1" applyFill="1" applyBorder="1" applyAlignment="1">
      <alignment horizontal="center" vertical="center"/>
    </xf>
    <xf numFmtId="3" fontId="52" fillId="35" borderId="179" xfId="0" applyNumberFormat="1" applyFont="1" applyFill="1" applyBorder="1" applyAlignment="1">
      <alignment horizontal="center" vertical="center" wrapText="1"/>
    </xf>
    <xf numFmtId="3" fontId="45" fillId="39" borderId="13" xfId="67" applyNumberFormat="1" applyFont="1" applyFill="1" applyBorder="1" applyAlignment="1">
      <alignment horizontal="center" vertical="center"/>
    </xf>
    <xf numFmtId="3" fontId="50" fillId="43" borderId="111" xfId="0" applyNumberFormat="1" applyFont="1" applyFill="1" applyBorder="1" applyAlignment="1">
      <alignment horizontal="center" vertical="center"/>
    </xf>
    <xf numFmtId="0" fontId="50" fillId="43" borderId="111" xfId="0" applyFont="1" applyFill="1" applyBorder="1" applyAlignment="1">
      <alignment horizontal="center" vertical="center"/>
    </xf>
    <xf numFmtId="3" fontId="50" fillId="43" borderId="120" xfId="0" applyNumberFormat="1" applyFont="1" applyFill="1" applyBorder="1" applyAlignment="1">
      <alignment horizontal="center" vertical="center"/>
    </xf>
    <xf numFmtId="3" fontId="50" fillId="37" borderId="155" xfId="0" applyNumberFormat="1" applyFont="1" applyFill="1" applyBorder="1" applyAlignment="1">
      <alignment horizontal="center" vertical="center"/>
    </xf>
    <xf numFmtId="0" fontId="50" fillId="37" borderId="155" xfId="0" applyFont="1" applyFill="1" applyBorder="1" applyAlignment="1">
      <alignment horizontal="center" vertical="center"/>
    </xf>
    <xf numFmtId="3" fontId="50" fillId="37" borderId="156" xfId="0" applyNumberFormat="1" applyFont="1" applyFill="1" applyBorder="1" applyAlignment="1">
      <alignment horizontal="center" vertical="center"/>
    </xf>
    <xf numFmtId="3" fontId="46" fillId="39" borderId="129" xfId="67" applyNumberFormat="1" applyFont="1" applyFill="1" applyBorder="1" applyAlignment="1">
      <alignment horizontal="center" vertical="center"/>
    </xf>
    <xf numFmtId="3" fontId="46" fillId="39" borderId="13" xfId="67" applyNumberFormat="1" applyFont="1" applyFill="1" applyBorder="1" applyAlignment="1">
      <alignment horizontal="center" vertical="center"/>
    </xf>
    <xf numFmtId="3" fontId="46" fillId="39" borderId="90" xfId="67" applyNumberFormat="1" applyFont="1" applyFill="1" applyBorder="1" applyAlignment="1">
      <alignment horizontal="center" vertical="center"/>
    </xf>
    <xf numFmtId="3" fontId="49" fillId="39" borderId="130" xfId="0" applyNumberFormat="1" applyFont="1" applyFill="1" applyBorder="1" applyAlignment="1">
      <alignment horizontal="center" vertical="center"/>
    </xf>
    <xf numFmtId="3" fontId="45" fillId="39" borderId="159" xfId="0" applyNumberFormat="1" applyFont="1" applyFill="1" applyBorder="1" applyAlignment="1">
      <alignment horizontal="center" vertical="center"/>
    </xf>
    <xf numFmtId="3" fontId="45" fillId="39" borderId="130" xfId="0" applyNumberFormat="1" applyFont="1" applyFill="1" applyBorder="1" applyAlignment="1">
      <alignment horizontal="center" vertical="center"/>
    </xf>
    <xf numFmtId="3" fontId="49" fillId="39" borderId="13" xfId="0" applyNumberFormat="1" applyFont="1" applyFill="1" applyBorder="1" applyAlignment="1">
      <alignment horizontal="center" vertical="center"/>
    </xf>
    <xf numFmtId="3" fontId="46" fillId="39" borderId="151" xfId="0" applyNumberFormat="1" applyFont="1" applyFill="1" applyBorder="1" applyAlignment="1">
      <alignment horizontal="center" vertical="center"/>
    </xf>
    <xf numFmtId="3" fontId="46" fillId="39" borderId="144" xfId="0" applyNumberFormat="1" applyFont="1" applyFill="1" applyBorder="1" applyAlignment="1">
      <alignment horizontal="center" vertical="center"/>
    </xf>
    <xf numFmtId="169" fontId="46" fillId="37" borderId="148" xfId="132" applyNumberFormat="1" applyFont="1" applyFill="1" applyBorder="1" applyAlignment="1">
      <alignment horizontal="center" vertical="center"/>
    </xf>
    <xf numFmtId="2" fontId="46" fillId="39" borderId="165" xfId="0" applyNumberFormat="1" applyFont="1" applyFill="1" applyBorder="1" applyAlignment="1">
      <alignment horizontal="center" vertical="center"/>
    </xf>
    <xf numFmtId="169" fontId="46" fillId="39" borderId="165" xfId="132" applyNumberFormat="1" applyFont="1" applyFill="1" applyBorder="1" applyAlignment="1">
      <alignment horizontal="center" vertical="center"/>
    </xf>
    <xf numFmtId="10" fontId="46" fillId="39" borderId="165" xfId="187" applyNumberFormat="1" applyFont="1" applyFill="1" applyBorder="1" applyAlignment="1">
      <alignment horizontal="center" vertical="center"/>
    </xf>
    <xf numFmtId="9" fontId="46" fillId="39" borderId="165" xfId="187" applyNumberFormat="1" applyFont="1" applyFill="1" applyBorder="1" applyAlignment="1">
      <alignment horizontal="center" vertical="center"/>
    </xf>
    <xf numFmtId="169" fontId="46" fillId="39" borderId="165" xfId="187" applyNumberFormat="1" applyFont="1" applyFill="1" applyBorder="1" applyAlignment="1">
      <alignment horizontal="center" vertical="center"/>
    </xf>
    <xf numFmtId="9" fontId="46" fillId="39" borderId="165" xfId="132" applyNumberFormat="1" applyFont="1" applyFill="1" applyBorder="1" applyAlignment="1">
      <alignment horizontal="center" vertical="center"/>
    </xf>
    <xf numFmtId="10" fontId="49" fillId="39" borderId="180" xfId="132" applyNumberFormat="1" applyFont="1" applyFill="1" applyBorder="1" applyAlignment="1">
      <alignment horizontal="center" vertical="center"/>
    </xf>
    <xf numFmtId="169" fontId="46" fillId="39" borderId="166" xfId="132" applyNumberFormat="1" applyFont="1" applyFill="1" applyBorder="1" applyAlignment="1">
      <alignment horizontal="center" vertical="center"/>
    </xf>
    <xf numFmtId="3" fontId="57" fillId="0" borderId="0" xfId="0" applyNumberFormat="1" applyFont="1" applyFill="1"/>
    <xf numFmtId="0" fontId="80" fillId="0" borderId="0" xfId="0" applyFont="1" applyFill="1" applyBorder="1" applyAlignment="1">
      <alignment horizontal="left" vertical="top"/>
    </xf>
    <xf numFmtId="0" fontId="60" fillId="0" borderId="0" xfId="0" applyFont="1" applyFill="1" applyBorder="1" applyAlignment="1">
      <alignment horizontal="left" vertical="top"/>
    </xf>
    <xf numFmtId="0" fontId="67" fillId="60" borderId="33" xfId="0" applyFont="1" applyFill="1" applyBorder="1" applyAlignment="1">
      <alignment horizontal="left" vertical="center" wrapText="1"/>
    </xf>
    <xf numFmtId="10" fontId="46" fillId="60" borderId="14" xfId="132" applyNumberFormat="1" applyFont="1" applyFill="1" applyBorder="1" applyAlignment="1">
      <alignment horizontal="center" vertical="center" wrapText="1"/>
    </xf>
    <xf numFmtId="10" fontId="46" fillId="60" borderId="49" xfId="132" applyNumberFormat="1" applyFont="1" applyFill="1" applyBorder="1" applyAlignment="1">
      <alignment horizontal="center" vertical="center" wrapText="1"/>
    </xf>
    <xf numFmtId="10" fontId="46" fillId="60" borderId="42" xfId="132" applyNumberFormat="1" applyFont="1" applyFill="1" applyBorder="1" applyAlignment="1">
      <alignment horizontal="center" vertical="center" wrapText="1"/>
    </xf>
    <xf numFmtId="1" fontId="46" fillId="60" borderId="14" xfId="0" applyNumberFormat="1" applyFont="1" applyFill="1" applyBorder="1" applyAlignment="1">
      <alignment horizontal="center" vertical="center" wrapText="1"/>
    </xf>
    <xf numFmtId="1" fontId="46" fillId="60" borderId="49" xfId="0" applyNumberFormat="1" applyFont="1" applyFill="1" applyBorder="1" applyAlignment="1">
      <alignment horizontal="center" vertical="center" wrapText="1"/>
    </xf>
    <xf numFmtId="1" fontId="46" fillId="60" borderId="42" xfId="0" applyNumberFormat="1" applyFont="1" applyFill="1" applyBorder="1" applyAlignment="1">
      <alignment horizontal="center" vertical="center" wrapText="1"/>
    </xf>
    <xf numFmtId="169" fontId="46" fillId="60" borderId="14" xfId="132" applyNumberFormat="1" applyFont="1" applyFill="1" applyBorder="1" applyAlignment="1">
      <alignment horizontal="center" vertical="center" wrapText="1"/>
    </xf>
    <xf numFmtId="169" fontId="46" fillId="60" borderId="128" xfId="132" applyNumberFormat="1" applyFont="1" applyFill="1" applyBorder="1" applyAlignment="1">
      <alignment horizontal="center" vertical="center" wrapText="1"/>
    </xf>
    <xf numFmtId="169" fontId="46" fillId="60" borderId="49" xfId="132" applyNumberFormat="1" applyFont="1" applyFill="1" applyBorder="1" applyAlignment="1">
      <alignment horizontal="center" vertical="center" wrapText="1"/>
    </xf>
    <xf numFmtId="169" fontId="46" fillId="60" borderId="42" xfId="132" applyNumberFormat="1" applyFont="1" applyFill="1" applyBorder="1" applyAlignment="1">
      <alignment horizontal="center" vertical="center" wrapText="1"/>
    </xf>
    <xf numFmtId="0" fontId="67" fillId="60" borderId="35" xfId="0" applyFont="1" applyFill="1" applyBorder="1" applyAlignment="1">
      <alignment horizontal="left" vertical="center" wrapText="1"/>
    </xf>
    <xf numFmtId="169" fontId="46" fillId="60" borderId="16" xfId="132" applyNumberFormat="1" applyFont="1" applyFill="1" applyBorder="1" applyAlignment="1">
      <alignment horizontal="center" vertical="center" wrapText="1"/>
    </xf>
    <xf numFmtId="169" fontId="46" fillId="60" borderId="89" xfId="132" applyNumberFormat="1" applyFont="1" applyFill="1" applyBorder="1" applyAlignment="1">
      <alignment horizontal="center" vertical="center" wrapText="1"/>
    </xf>
    <xf numFmtId="169" fontId="46" fillId="60" borderId="98" xfId="132" applyNumberFormat="1" applyFont="1" applyFill="1" applyBorder="1" applyAlignment="1">
      <alignment horizontal="center" vertical="center" wrapText="1"/>
    </xf>
    <xf numFmtId="169" fontId="46" fillId="60" borderId="96" xfId="132" applyNumberFormat="1" applyFont="1" applyFill="1" applyBorder="1" applyAlignment="1">
      <alignment horizontal="center" vertical="center" wrapText="1"/>
    </xf>
    <xf numFmtId="0" fontId="67" fillId="37" borderId="33" xfId="0" applyFont="1" applyFill="1" applyBorder="1" applyAlignment="1">
      <alignment horizontal="left" vertical="center" wrapText="1"/>
    </xf>
    <xf numFmtId="1" fontId="46" fillId="37" borderId="14" xfId="0" applyNumberFormat="1" applyFont="1" applyFill="1" applyBorder="1" applyAlignment="1">
      <alignment horizontal="center" vertical="center" wrapText="1"/>
    </xf>
    <xf numFmtId="1" fontId="46" fillId="37" borderId="42" xfId="0" applyNumberFormat="1" applyFont="1" applyFill="1" applyBorder="1" applyAlignment="1">
      <alignment horizontal="center" vertical="center" wrapText="1"/>
    </xf>
    <xf numFmtId="0" fontId="60" fillId="0" borderId="0" xfId="0" applyFont="1" applyAlignment="1">
      <alignment horizontal="left" vertical="top" wrapText="1"/>
    </xf>
    <xf numFmtId="3" fontId="49" fillId="54" borderId="111" xfId="0" applyNumberFormat="1" applyFont="1" applyFill="1" applyBorder="1" applyAlignment="1">
      <alignment horizontal="center" vertical="center"/>
    </xf>
    <xf numFmtId="170" fontId="46" fillId="0" borderId="0" xfId="132" applyNumberFormat="1" applyFont="1" applyBorder="1" applyAlignment="1">
      <alignment vertical="center"/>
    </xf>
    <xf numFmtId="0" fontId="154" fillId="0" borderId="0" xfId="186" applyFont="1" applyBorder="1" applyAlignment="1"/>
    <xf numFmtId="0" fontId="155" fillId="0" borderId="0" xfId="186" applyFont="1" applyBorder="1"/>
    <xf numFmtId="0" fontId="155" fillId="0" borderId="0" xfId="184" applyFont="1" applyProtection="1"/>
    <xf numFmtId="0" fontId="155" fillId="0" borderId="0" xfId="184" applyFont="1" applyFill="1" applyProtection="1"/>
    <xf numFmtId="0" fontId="154" fillId="0" borderId="0" xfId="186" applyFont="1" applyBorder="1"/>
    <xf numFmtId="0" fontId="154" fillId="0" borderId="0" xfId="186" applyFont="1" applyFill="1" applyBorder="1"/>
    <xf numFmtId="0" fontId="156" fillId="0" borderId="0" xfId="186" applyFont="1" applyBorder="1"/>
    <xf numFmtId="3" fontId="156" fillId="0" borderId="0" xfId="186" applyNumberFormat="1" applyFont="1" applyBorder="1"/>
    <xf numFmtId="0" fontId="155" fillId="0" borderId="0" xfId="184" applyFont="1" applyAlignment="1">
      <alignment horizontal="left" vertical="center"/>
    </xf>
    <xf numFmtId="9" fontId="155" fillId="0" borderId="0" xfId="132" applyFont="1" applyProtection="1"/>
    <xf numFmtId="9" fontId="157" fillId="0" borderId="0" xfId="132" applyFont="1" applyProtection="1"/>
    <xf numFmtId="0" fontId="158" fillId="0" borderId="116" xfId="0" applyFont="1" applyBorder="1" applyAlignment="1">
      <alignment horizontal="left" vertical="center" wrapText="1"/>
    </xf>
    <xf numFmtId="3" fontId="158" fillId="0" borderId="111" xfId="67" applyNumberFormat="1" applyFont="1" applyBorder="1" applyAlignment="1">
      <alignment horizontal="center" vertical="center"/>
    </xf>
    <xf numFmtId="3" fontId="158" fillId="0" borderId="0" xfId="67" applyNumberFormat="1" applyFont="1" applyBorder="1" applyAlignment="1">
      <alignment horizontal="center" vertical="center"/>
    </xf>
    <xf numFmtId="3" fontId="158" fillId="37" borderId="112" xfId="67" applyNumberFormat="1" applyFont="1" applyFill="1" applyBorder="1" applyAlignment="1">
      <alignment horizontal="center" vertical="center"/>
    </xf>
    <xf numFmtId="3" fontId="158" fillId="43" borderId="0" xfId="67" applyNumberFormat="1" applyFont="1" applyFill="1" applyBorder="1" applyAlignment="1">
      <alignment horizontal="center" vertical="center"/>
    </xf>
    <xf numFmtId="3" fontId="158" fillId="37" borderId="111" xfId="67" applyNumberFormat="1" applyFont="1" applyFill="1" applyBorder="1" applyAlignment="1">
      <alignment horizontal="center" vertical="center"/>
    </xf>
    <xf numFmtId="3" fontId="158" fillId="43" borderId="43" xfId="67" applyNumberFormat="1" applyFont="1" applyFill="1" applyBorder="1" applyAlignment="1">
      <alignment horizontal="center" vertical="center"/>
    </xf>
    <xf numFmtId="3" fontId="83" fillId="0" borderId="0" xfId="0" applyNumberFormat="1" applyFont="1" applyFill="1" applyBorder="1" applyAlignment="1">
      <alignment horizontal="center" vertical="center" wrapText="1"/>
    </xf>
    <xf numFmtId="0" fontId="60" fillId="0" borderId="0" xfId="0" applyFont="1" applyAlignment="1">
      <alignment horizontal="left" vertical="center" wrapText="1"/>
    </xf>
    <xf numFmtId="0" fontId="60" fillId="0" borderId="0" xfId="0" applyFont="1" applyAlignment="1">
      <alignment horizontal="left" vertical="top" wrapText="1"/>
    </xf>
    <xf numFmtId="0" fontId="60" fillId="37" borderId="0" xfId="0" applyFont="1" applyFill="1" applyBorder="1" applyAlignment="1">
      <alignment horizontal="left" vertical="center" wrapText="1"/>
    </xf>
    <xf numFmtId="3" fontId="45" fillId="39" borderId="181" xfId="0" applyNumberFormat="1" applyFont="1" applyFill="1" applyBorder="1" applyAlignment="1">
      <alignment horizontal="center" vertical="center"/>
    </xf>
    <xf numFmtId="0" fontId="45" fillId="0" borderId="0" xfId="0" applyFont="1" applyAlignment="1">
      <alignment horizontal="left" vertical="center" wrapText="1"/>
    </xf>
    <xf numFmtId="0" fontId="60" fillId="0" borderId="0" xfId="0" applyFont="1" applyAlignment="1">
      <alignment horizontal="left" vertical="top" wrapText="1"/>
    </xf>
    <xf numFmtId="0" fontId="60" fillId="0" borderId="0" xfId="0" applyFont="1" applyAlignment="1">
      <alignment horizontal="left" vertical="top" wrapText="1"/>
    </xf>
    <xf numFmtId="0" fontId="80" fillId="37" borderId="0" xfId="0" applyFont="1" applyFill="1" applyBorder="1" applyAlignment="1">
      <alignment vertical="center"/>
    </xf>
    <xf numFmtId="0" fontId="60" fillId="37" borderId="0" xfId="0" applyFont="1" applyFill="1" applyAlignment="1">
      <alignment horizontal="left" vertical="center" wrapText="1"/>
    </xf>
    <xf numFmtId="1" fontId="149" fillId="37" borderId="0" xfId="0" applyNumberFormat="1" applyFont="1" applyFill="1" applyBorder="1" applyAlignment="1">
      <alignment vertical="center"/>
    </xf>
    <xf numFmtId="1" fontId="47" fillId="37" borderId="0" xfId="0" applyNumberFormat="1" applyFont="1" applyFill="1" applyBorder="1" applyAlignment="1">
      <alignment vertical="center"/>
    </xf>
    <xf numFmtId="0" fontId="60" fillId="37" borderId="0" xfId="0" applyFont="1" applyFill="1" applyAlignment="1">
      <alignment horizontal="left" vertical="top" wrapText="1"/>
    </xf>
    <xf numFmtId="0" fontId="60" fillId="37" borderId="0" xfId="0" applyFont="1" applyFill="1" applyAlignment="1">
      <alignment horizontal="left" vertical="top"/>
    </xf>
    <xf numFmtId="0" fontId="0" fillId="37" borderId="0" xfId="0" applyFill="1" applyAlignment="1">
      <alignment horizontal="left" vertical="top" wrapText="1"/>
    </xf>
    <xf numFmtId="0" fontId="160" fillId="0" borderId="0" xfId="39" applyFont="1" applyAlignment="1" applyProtection="1">
      <alignment horizontal="right"/>
    </xf>
    <xf numFmtId="0" fontId="160" fillId="0" borderId="0" xfId="39" applyFont="1" applyAlignment="1" applyProtection="1"/>
    <xf numFmtId="0" fontId="78" fillId="0" borderId="0" xfId="68" applyFont="1" applyAlignment="1">
      <alignment horizontal="left" vertical="center" wrapText="1"/>
    </xf>
    <xf numFmtId="0" fontId="72" fillId="0" borderId="0" xfId="68" applyFont="1" applyAlignment="1">
      <alignment horizontal="left" vertical="center" wrapText="1"/>
    </xf>
    <xf numFmtId="0" fontId="78" fillId="0" borderId="0" xfId="184" applyFont="1" applyAlignment="1">
      <alignment horizontal="justify" vertical="top" wrapText="1"/>
    </xf>
    <xf numFmtId="0" fontId="63" fillId="0" borderId="24" xfId="68" applyFont="1" applyBorder="1" applyAlignment="1">
      <alignment horizontal="center" vertical="center"/>
    </xf>
    <xf numFmtId="0" fontId="80" fillId="37" borderId="0" xfId="0" applyFont="1" applyFill="1" applyBorder="1" applyAlignment="1">
      <alignment horizontal="left" vertical="center" wrapText="1"/>
    </xf>
    <xf numFmtId="0" fontId="137" fillId="52" borderId="0" xfId="184" applyFont="1" applyFill="1" applyAlignment="1">
      <alignment horizontal="center" vertical="center"/>
    </xf>
    <xf numFmtId="3" fontId="145" fillId="57" borderId="112" xfId="67" applyNumberFormat="1" applyFont="1" applyFill="1" applyBorder="1" applyAlignment="1">
      <alignment horizontal="center" vertical="center"/>
    </xf>
    <xf numFmtId="0" fontId="60" fillId="37" borderId="0" xfId="0" applyFont="1" applyFill="1" applyAlignment="1">
      <alignment horizontal="left" vertical="center" wrapText="1"/>
    </xf>
    <xf numFmtId="0" fontId="80" fillId="37" borderId="0" xfId="184" applyFont="1" applyFill="1" applyAlignment="1">
      <alignment horizontal="left" vertical="center" wrapText="1"/>
    </xf>
    <xf numFmtId="0" fontId="0" fillId="37" borderId="0" xfId="0" applyFill="1" applyAlignment="1">
      <alignment horizontal="left" vertical="center" wrapText="1"/>
    </xf>
    <xf numFmtId="0" fontId="80" fillId="0" borderId="0" xfId="184" applyFont="1" applyAlignment="1">
      <alignment horizontal="left" vertical="center" wrapText="1"/>
    </xf>
    <xf numFmtId="0" fontId="0" fillId="0" borderId="0" xfId="0" applyAlignment="1">
      <alignment horizontal="left" vertical="center" wrapText="1"/>
    </xf>
    <xf numFmtId="0" fontId="138" fillId="52" borderId="0" xfId="0" applyFont="1" applyFill="1" applyAlignment="1">
      <alignment vertical="center"/>
    </xf>
    <xf numFmtId="0" fontId="60" fillId="37" borderId="0" xfId="0" applyFont="1" applyFill="1" applyAlignment="1">
      <alignment horizontal="left" vertical="top" wrapText="1"/>
    </xf>
    <xf numFmtId="0" fontId="137" fillId="52" borderId="0" xfId="184" applyFont="1" applyFill="1" applyBorder="1" applyAlignment="1">
      <alignment horizontal="center" vertical="center"/>
    </xf>
    <xf numFmtId="0" fontId="138" fillId="52" borderId="0" xfId="0" applyFont="1" applyFill="1" applyBorder="1" applyAlignment="1">
      <alignment vertical="center"/>
    </xf>
    <xf numFmtId="0" fontId="45" fillId="43" borderId="12" xfId="0" applyFont="1" applyFill="1" applyBorder="1" applyAlignment="1">
      <alignment horizontal="left" vertical="center" wrapText="1"/>
    </xf>
    <xf numFmtId="0" fontId="0" fillId="43" borderId="12" xfId="0" applyFill="1" applyBorder="1" applyAlignment="1">
      <alignment horizontal="left" vertical="center" wrapText="1"/>
    </xf>
    <xf numFmtId="0" fontId="45" fillId="43" borderId="50" xfId="0" applyFont="1" applyFill="1" applyBorder="1" applyAlignment="1">
      <alignment horizontal="left" vertical="center" wrapText="1"/>
    </xf>
    <xf numFmtId="0" fontId="0" fillId="43" borderId="34" xfId="0" applyFill="1" applyBorder="1" applyAlignment="1">
      <alignment horizontal="left" vertical="center" wrapText="1"/>
    </xf>
    <xf numFmtId="0" fontId="0" fillId="0" borderId="12" xfId="0" applyBorder="1" applyAlignment="1">
      <alignment horizontal="left" vertical="center" wrapText="1"/>
    </xf>
    <xf numFmtId="0" fontId="0" fillId="0" borderId="34" xfId="0" applyBorder="1" applyAlignment="1">
      <alignment horizontal="left" vertical="center" wrapText="1"/>
    </xf>
    <xf numFmtId="0" fontId="60" fillId="37" borderId="0" xfId="0" applyFont="1" applyFill="1" applyBorder="1" applyAlignment="1">
      <alignment horizontal="left" vertical="center" wrapText="1"/>
    </xf>
    <xf numFmtId="0" fontId="80" fillId="0" borderId="0" xfId="0" applyFont="1" applyFill="1" applyBorder="1" applyAlignment="1">
      <alignment horizontal="left" vertical="top" wrapText="1"/>
    </xf>
    <xf numFmtId="0" fontId="60" fillId="0" borderId="0" xfId="0" applyFont="1" applyFill="1" applyBorder="1" applyAlignment="1">
      <alignment horizontal="left" vertical="top" wrapText="1"/>
    </xf>
    <xf numFmtId="0" fontId="137" fillId="52" borderId="0" xfId="184" applyFont="1" applyFill="1" applyAlignment="1" applyProtection="1">
      <alignment horizontal="center" vertical="center"/>
    </xf>
    <xf numFmtId="0" fontId="90" fillId="0" borderId="0" xfId="184" applyFont="1" applyAlignment="1">
      <alignment horizontal="left" vertical="top" wrapText="1"/>
    </xf>
    <xf numFmtId="0" fontId="80" fillId="0" borderId="0" xfId="186" applyFont="1" applyFill="1" applyBorder="1" applyAlignment="1">
      <alignment horizontal="left" vertical="center" wrapText="1" shrinkToFit="1"/>
    </xf>
    <xf numFmtId="0" fontId="0" fillId="0" borderId="0" xfId="0" applyAlignment="1"/>
    <xf numFmtId="179" fontId="60" fillId="0" borderId="0" xfId="186" applyNumberFormat="1" applyFont="1" applyFill="1" applyBorder="1" applyAlignment="1">
      <alignment horizontal="left" vertical="center" wrapText="1" shrinkToFit="1"/>
    </xf>
    <xf numFmtId="179" fontId="60" fillId="0" borderId="0" xfId="186" applyNumberFormat="1" applyFont="1" applyFill="1" applyBorder="1" applyAlignment="1">
      <alignment horizontal="left" vertical="top" wrapText="1" shrinkToFit="1"/>
    </xf>
    <xf numFmtId="0" fontId="0" fillId="0" borderId="0" xfId="0" applyAlignment="1">
      <alignment horizontal="left" vertical="top"/>
    </xf>
    <xf numFmtId="0" fontId="0" fillId="0" borderId="0" xfId="0" applyAlignment="1">
      <alignment vertical="top"/>
    </xf>
  </cellXfs>
  <cellStyles count="354">
    <cellStyle name="_ΜΕΡΙΔΙΑ ΤΡΑΠΕΖΙΚΗΣ ΑΓΟΡΑΣ" xfId="1" xr:uid="{00000000-0005-0000-0000-000000000000}"/>
    <cellStyle name="20% - Accent1 2" xfId="189" xr:uid="{F251F079-024A-4F2B-B248-8240A76249B6}"/>
    <cellStyle name="20% - Accent2 2" xfId="190" xr:uid="{402267D9-EC5C-4BE7-80B8-A86140BFC281}"/>
    <cellStyle name="20% - Accent3 2" xfId="191" xr:uid="{69ECA58B-219F-459A-A503-4CF956CE5AE3}"/>
    <cellStyle name="20% - Accent4 2" xfId="192" xr:uid="{2B673D3D-608A-4E0A-A7FB-E9B981630040}"/>
    <cellStyle name="20% - Accent5 2" xfId="193" xr:uid="{5A57DAC9-5A02-4076-BD43-66E24452157B}"/>
    <cellStyle name="20% - Accent6 2" xfId="194" xr:uid="{936490FA-6362-4289-A620-FA9A00D557F3}"/>
    <cellStyle name="20% - Énfasis1 2" xfId="290" xr:uid="{6B0FCA09-8146-425E-942C-8C7BD9EFE951}"/>
    <cellStyle name="20% - Énfasis2 2" xfId="291" xr:uid="{DC5579EE-6D31-4144-9978-C722BCDDB732}"/>
    <cellStyle name="20% - Énfasis3 2" xfId="292" xr:uid="{B0D33EB0-ADDB-4B66-9FF5-89029FEA30D4}"/>
    <cellStyle name="20% - Énfasis4 2" xfId="293" xr:uid="{F999C4C7-37DC-43D3-A32C-0A93B932C555}"/>
    <cellStyle name="20% - Énfasis5 2" xfId="294" xr:uid="{164F7FE8-B9F6-46EB-9A1A-EB8E1AAAD8A4}"/>
    <cellStyle name="20% - Énfasis6 2" xfId="295" xr:uid="{877BB7BA-2286-410F-A245-08AEA7DD9B9A}"/>
    <cellStyle name="20% - Έμφαση1" xfId="2" xr:uid="{00000000-0005-0000-0000-000001000000}"/>
    <cellStyle name="20% - Έμφαση2" xfId="3" xr:uid="{00000000-0005-0000-0000-000002000000}"/>
    <cellStyle name="20% - Έμφαση3" xfId="4" xr:uid="{00000000-0005-0000-0000-000003000000}"/>
    <cellStyle name="20% - Έμφαση4" xfId="5" xr:uid="{00000000-0005-0000-0000-000004000000}"/>
    <cellStyle name="20% - Έμφαση5" xfId="6" xr:uid="{00000000-0005-0000-0000-000005000000}"/>
    <cellStyle name="20% - Έμφαση6" xfId="7" xr:uid="{00000000-0005-0000-0000-000006000000}"/>
    <cellStyle name="40% - Accent1 2" xfId="195" xr:uid="{62626E5A-EFB9-435B-8790-9D7748951A49}"/>
    <cellStyle name="40% - Accent2 2" xfId="196" xr:uid="{DF6B0AD4-038E-4420-A11D-61D20A94D3A2}"/>
    <cellStyle name="40% - Accent3 2" xfId="197" xr:uid="{2CBB0B32-4A9F-4FB8-A397-66B64FF8317F}"/>
    <cellStyle name="40% - Accent4 2" xfId="198" xr:uid="{CB9678B4-E0EF-42A7-95F4-5124D0E12492}"/>
    <cellStyle name="40% - Accent5 2" xfId="199" xr:uid="{62FE6B18-441E-4F3D-AC6E-A29EA14632CC}"/>
    <cellStyle name="40% - Accent6 2" xfId="200" xr:uid="{33349093-A47A-4A93-903A-0201B492DA13}"/>
    <cellStyle name="40% - Énfasis1 2" xfId="296" xr:uid="{82D14BAE-43A6-4B41-A49C-7DE2D94CD669}"/>
    <cellStyle name="40% - Énfasis2 2" xfId="297" xr:uid="{C6809D7C-AC64-4503-B4F6-518B5B2D88AA}"/>
    <cellStyle name="40% - Énfasis3 2" xfId="298" xr:uid="{F111ECF3-2433-46B9-B8DC-E68751579661}"/>
    <cellStyle name="40% - Énfasis4 2" xfId="299" xr:uid="{372A998B-2FD4-4A1F-AEF5-E2194B19A8E6}"/>
    <cellStyle name="40% - Énfasis5 2" xfId="300" xr:uid="{AB8BEE18-392E-4BE6-BB9F-296A1614CB60}"/>
    <cellStyle name="40% - Énfasis6 2" xfId="301" xr:uid="{BB78DF3F-BC5D-4686-9D7F-84E6326E1141}"/>
    <cellStyle name="40% - Έμφαση1" xfId="8" xr:uid="{00000000-0005-0000-0000-000007000000}"/>
    <cellStyle name="40% - Έμφαση2" xfId="9" xr:uid="{00000000-0005-0000-0000-000008000000}"/>
    <cellStyle name="40% - Έμφαση3" xfId="10" xr:uid="{00000000-0005-0000-0000-000009000000}"/>
    <cellStyle name="40% - Έμφαση4" xfId="11" xr:uid="{00000000-0005-0000-0000-00000A000000}"/>
    <cellStyle name="40% - Έμφαση5" xfId="12" xr:uid="{00000000-0005-0000-0000-00000B000000}"/>
    <cellStyle name="40% - Έμφαση6" xfId="13" xr:uid="{00000000-0005-0000-0000-00000C000000}"/>
    <cellStyle name="60% - Accent1 2" xfId="201" xr:uid="{6747AD37-3A86-44FC-A73C-2C81F15F5BF4}"/>
    <cellStyle name="60% - Accent2 2" xfId="202" xr:uid="{8257C9ED-B622-41DE-8767-B0FB7EA51D47}"/>
    <cellStyle name="60% - Accent3 2" xfId="203" xr:uid="{C8E38F5C-784E-4572-90FC-E6F9513E8053}"/>
    <cellStyle name="60% - Accent4 2" xfId="204" xr:uid="{B491124E-481B-48D8-9553-F6CA4A9BA6FD}"/>
    <cellStyle name="60% - Accent5 2" xfId="205" xr:uid="{FB4889AA-B2A3-4491-BDB4-F43E2A416595}"/>
    <cellStyle name="60% - Accent6 2" xfId="206" xr:uid="{E697CB78-5BDA-4E8E-A51D-843A1BB48E82}"/>
    <cellStyle name="60% - Énfasis1 2" xfId="302" xr:uid="{1B27A5F1-FE71-4EBF-8395-F32B1A945D2B}"/>
    <cellStyle name="60% - Énfasis2 2" xfId="303" xr:uid="{7A8D54EE-019A-4D3B-B480-28583DA5F206}"/>
    <cellStyle name="60% - Énfasis3 2" xfId="304" xr:uid="{D0D5850C-93D0-433A-8FE6-DB93474FBCD1}"/>
    <cellStyle name="60% - Énfasis4 2" xfId="305" xr:uid="{87B63345-DA2A-45A2-8C1D-DED71AB11C1D}"/>
    <cellStyle name="60% - Énfasis5 2" xfId="306" xr:uid="{4363EE54-E45C-4465-8275-A6E9EB13BF5B}"/>
    <cellStyle name="60% - Énfasis6 2" xfId="307" xr:uid="{D712C3FC-FF69-4B77-B076-43112E2DC908}"/>
    <cellStyle name="60% - Έμφαση1" xfId="14" xr:uid="{00000000-0005-0000-0000-00000D000000}"/>
    <cellStyle name="60% - Έμφαση2" xfId="15" xr:uid="{00000000-0005-0000-0000-00000E000000}"/>
    <cellStyle name="60% - Έμφαση3" xfId="16" xr:uid="{00000000-0005-0000-0000-00000F000000}"/>
    <cellStyle name="60% - Έμφαση4" xfId="17" xr:uid="{00000000-0005-0000-0000-000010000000}"/>
    <cellStyle name="60% - Έμφαση5" xfId="18" xr:uid="{00000000-0005-0000-0000-000011000000}"/>
    <cellStyle name="60% - Έμφαση6" xfId="19" xr:uid="{00000000-0005-0000-0000-000012000000}"/>
    <cellStyle name="Accent1 2" xfId="207" xr:uid="{1DE93CA7-99F6-4E05-90D0-7070E37724EC}"/>
    <cellStyle name="Accent2 2" xfId="208" xr:uid="{CF9B51F0-4D22-49F4-BB97-C0EA3037FC5F}"/>
    <cellStyle name="Accent3 2" xfId="209" xr:uid="{80922F36-B125-42FC-BC9E-72FDDE0926F3}"/>
    <cellStyle name="Accent4 2" xfId="210" xr:uid="{17176ADB-5118-42D4-B3C8-F175CFC3BF75}"/>
    <cellStyle name="Accent5 2" xfId="211" xr:uid="{2EAC8624-6F82-4168-BF56-0281D61B1750}"/>
    <cellStyle name="Accent6 2" xfId="212" xr:uid="{B0BAA119-EBF7-486E-A65B-D29A2BEB0C16}"/>
    <cellStyle name="Bé" xfId="213" xr:uid="{B3C288ED-1B01-48F1-BCED-F8779D04DD2A}"/>
    <cellStyle name="Buena 2" xfId="308" xr:uid="{3D090261-D66F-4FB9-B9F1-7ADCF3FF5630}"/>
    <cellStyle name="Càlcul" xfId="214" xr:uid="{6539A578-0DDE-4169-B5A1-8736BF6A22DA}"/>
    <cellStyle name="Càlcul 2" xfId="345" xr:uid="{2B9E7BA1-0F57-497E-9AE5-C29A2D64EBF1}"/>
    <cellStyle name="Cálculo 2" xfId="309" xr:uid="{9D2DA857-90BD-4784-B288-335C5E70717F}"/>
    <cellStyle name="Cálculo 2 2" xfId="348" xr:uid="{9D3F7872-AC1A-4219-B76D-FACA050FA054}"/>
    <cellStyle name="Cel·la de comprovació" xfId="215" xr:uid="{0E69E43A-25E1-4D91-8B65-594F4FD8CADA}"/>
    <cellStyle name="Cel·la enllaçada" xfId="216" xr:uid="{65F70AEA-D71A-46C2-8462-C769128E0EB9}"/>
    <cellStyle name="Celda de comprobación 2" xfId="310" xr:uid="{6B821160-7FE6-431F-ACC7-C83BF5756B75}"/>
    <cellStyle name="Celda vinculada 2" xfId="311" xr:uid="{6C6175E3-7950-4264-BA48-E80EC2026CDE}"/>
    <cellStyle name="Comma" xfId="187" builtinId="3"/>
    <cellStyle name="Comma 2" xfId="353" xr:uid="{E5B0923A-9BC6-484A-A0B7-898EE3ED8FE2}"/>
    <cellStyle name="Comma 2 2" xfId="20" xr:uid="{00000000-0005-0000-0000-000014000000}"/>
    <cellStyle name="Comma0" xfId="21" xr:uid="{00000000-0005-0000-0000-000015000000}"/>
    <cellStyle name="Date" xfId="22" xr:uid="{00000000-0005-0000-0000-000016000000}"/>
    <cellStyle name="Dezimal [0]_1999" xfId="23" xr:uid="{00000000-0005-0000-0000-000017000000}"/>
    <cellStyle name="Dezimal_0111hufag" xfId="24" xr:uid="{00000000-0005-0000-0000-000018000000}"/>
    <cellStyle name="Encabezado 4 2" xfId="312" xr:uid="{AEA28409-DE54-406B-98CE-9CAC56459784}"/>
    <cellStyle name="Énfasis1 2" xfId="313" xr:uid="{DFA7B4E7-B49E-4275-BB0C-D0EF00E12384}"/>
    <cellStyle name="Énfasis2 2" xfId="314" xr:uid="{83ECC219-94FF-4020-BC6E-01581ADC3E26}"/>
    <cellStyle name="Énfasis3 2" xfId="315" xr:uid="{2AF4822D-1D05-4A13-901F-41AD6AC2F23A}"/>
    <cellStyle name="Énfasis4 2" xfId="316" xr:uid="{F90D823C-F454-41A1-9BC4-557F1B93DACA}"/>
    <cellStyle name="Énfasis5 2" xfId="317" xr:uid="{874FC357-7C40-4606-86CF-8C1DFAD0715E}"/>
    <cellStyle name="Énfasis6 2" xfId="318" xr:uid="{70635C51-702E-4221-BAA3-468DB158CA5E}"/>
    <cellStyle name="Entrada 2" xfId="319" xr:uid="{7019CA07-6DE4-4945-9AD7-0C57EC735A33}"/>
    <cellStyle name="Entrada 2 2" xfId="349" xr:uid="{C0DA7B64-1C3D-4C32-B9A5-176D853A7B3E}"/>
    <cellStyle name="Euro" xfId="25" xr:uid="{00000000-0005-0000-0000-000019000000}"/>
    <cellStyle name="Euro 2" xfId="217" xr:uid="{62DAED2B-285F-4AF3-BC7A-7CD507E5FE86}"/>
    <cellStyle name="F2" xfId="26" xr:uid="{00000000-0005-0000-0000-00001A000000}"/>
    <cellStyle name="F3" xfId="27" xr:uid="{00000000-0005-0000-0000-00001B000000}"/>
    <cellStyle name="F4" xfId="28" xr:uid="{00000000-0005-0000-0000-00001C000000}"/>
    <cellStyle name="F5" xfId="29" xr:uid="{00000000-0005-0000-0000-00001D000000}"/>
    <cellStyle name="F6" xfId="30" xr:uid="{00000000-0005-0000-0000-00001E000000}"/>
    <cellStyle name="F7" xfId="31" xr:uid="{00000000-0005-0000-0000-00001F000000}"/>
    <cellStyle name="F8" xfId="32" xr:uid="{00000000-0005-0000-0000-000020000000}"/>
    <cellStyle name="Fixed" xfId="33" xr:uid="{00000000-0005-0000-0000-000021000000}"/>
    <cellStyle name="Followed Hyperlink" xfId="34" builtinId="9"/>
    <cellStyle name="Gen_Black" xfId="35" xr:uid="{00000000-0005-0000-0000-000023000000}"/>
    <cellStyle name="gs]_x000d__x000a_Window=0,0,640,480, , ,3_x000d__x000a_dir1=5,7,637,250,-1,-1,1,30,201,1905,231,G:\UGRC\RB\B-DADOS\FOX-PRO\CRED-VEN\KP" xfId="36" xr:uid="{00000000-0005-0000-0000-000024000000}"/>
    <cellStyle name="Heading1" xfId="37" xr:uid="{00000000-0005-0000-0000-000025000000}"/>
    <cellStyle name="Heading2" xfId="38" xr:uid="{00000000-0005-0000-0000-000026000000}"/>
    <cellStyle name="Hyperlink" xfId="39" builtinId="8"/>
    <cellStyle name="Hyperlink 2" xfId="289" xr:uid="{7343E25B-3D34-4701-97C1-9EC6E866D027}"/>
    <cellStyle name="Incorrecte" xfId="218" xr:uid="{3A47BEDA-C9FC-45E8-BA9D-F0B38BBEADF9}"/>
    <cellStyle name="Incorrecto 2" xfId="320" xr:uid="{8714F20D-B91F-459D-8645-427F7A6D2D66}"/>
    <cellStyle name="Millares 2" xfId="219" xr:uid="{47CFFB67-16E1-4A53-A505-1D4AF9D0A8FE}"/>
    <cellStyle name="Millares 3" xfId="220" xr:uid="{9292156B-4DEA-4A06-9D03-D216A96C415F}"/>
    <cellStyle name="Milliers [0]_3A_NumeratorReport_Option1_040611" xfId="40" xr:uid="{00000000-0005-0000-0000-000028000000}"/>
    <cellStyle name="Milliers_3A_NumeratorReport_Option1_040611" xfId="41" xr:uid="{00000000-0005-0000-0000-000029000000}"/>
    <cellStyle name="Moeda [0]_1.1  ANEXO 1" xfId="42" xr:uid="{00000000-0005-0000-0000-00002A000000}"/>
    <cellStyle name="Moeda_1.1  ANEXO 1" xfId="43" xr:uid="{00000000-0005-0000-0000-00002B000000}"/>
    <cellStyle name="Monétaire [0]_3A_NumeratorReport_Option1_040611" xfId="44" xr:uid="{00000000-0005-0000-0000-00002C000000}"/>
    <cellStyle name="Monétaire_3A_NumeratorReport_Option1_040611" xfId="45" xr:uid="{00000000-0005-0000-0000-00002D000000}"/>
    <cellStyle name="Neutral 2" xfId="321" xr:uid="{70394ADD-8ED4-40F9-873E-3D09AA86B259}"/>
    <cellStyle name="No-definido" xfId="221" xr:uid="{A81D0B5A-CF85-4539-A85A-4FF72B8B944D}"/>
    <cellStyle name="Normal" xfId="0" builtinId="0"/>
    <cellStyle name="Normal 10" xfId="46" xr:uid="{00000000-0005-0000-0000-00002F000000}"/>
    <cellStyle name="Normal 10 2" xfId="222" xr:uid="{67784CB4-FD19-4B6B-8FC6-3C36BCA2B0F4}"/>
    <cellStyle name="Normal 11" xfId="47" xr:uid="{00000000-0005-0000-0000-000030000000}"/>
    <cellStyle name="Normal 11 2" xfId="223" xr:uid="{4E604F71-55A4-47CE-A7F7-788BA7FB26D0}"/>
    <cellStyle name="Normal 12" xfId="48" xr:uid="{00000000-0005-0000-0000-000031000000}"/>
    <cellStyle name="Normal 12 2" xfId="224" xr:uid="{2DFE48E0-DFFA-48E8-87AA-9024976CB9F5}"/>
    <cellStyle name="Normal 13" xfId="49" xr:uid="{00000000-0005-0000-0000-000032000000}"/>
    <cellStyle name="Normal 13 2" xfId="225" xr:uid="{9F66D035-9CD5-4D8A-824F-689DB69CBDC2}"/>
    <cellStyle name="Normal 14" xfId="50" xr:uid="{00000000-0005-0000-0000-000033000000}"/>
    <cellStyle name="Normal 14 2" xfId="226" xr:uid="{0CEC90A7-F46D-46C8-B2A8-CF7E00F86FBB}"/>
    <cellStyle name="Normal 15" xfId="51" xr:uid="{00000000-0005-0000-0000-000034000000}"/>
    <cellStyle name="Normal 15 2" xfId="227" xr:uid="{FA11DBAF-B035-40C0-A4B1-E1063066884D}"/>
    <cellStyle name="Normal 16" xfId="178" xr:uid="{00000000-0005-0000-0000-000035000000}"/>
    <cellStyle name="Normal 16 2" xfId="229" xr:uid="{B180965C-F8EA-480B-A216-4A85B41C38FB}"/>
    <cellStyle name="Normal 16 3" xfId="228" xr:uid="{0C9BD021-D2CF-411B-867A-B909C37AA516}"/>
    <cellStyle name="Normal 17" xfId="186" xr:uid="{00000000-0005-0000-0000-000036000000}"/>
    <cellStyle name="Normal 17 2" xfId="231" xr:uid="{DFE46B97-0DC7-46D8-B346-1CB8AD6D023E}"/>
    <cellStyle name="Normal 17 3" xfId="230" xr:uid="{A3D88E99-6EFC-44AD-9A3A-07CE04A17B04}"/>
    <cellStyle name="Normal 18" xfId="232" xr:uid="{0B937D13-03CC-4726-B5E0-87EDB6A19DF9}"/>
    <cellStyle name="Normal 18 2" xfId="233" xr:uid="{7D8D438F-27A3-423D-98E2-414FCB7911B6}"/>
    <cellStyle name="Normal 18 2 2" xfId="341" xr:uid="{AECADB38-4B2F-432A-863F-0DBDD9F0257C}"/>
    <cellStyle name="Normal 18 3" xfId="331" xr:uid="{A4386136-6C92-4CFE-A6FB-392FCC51FB0C}"/>
    <cellStyle name="Normal 18 4" xfId="288" xr:uid="{73D776C4-570D-420B-9854-6B0B0C929496}"/>
    <cellStyle name="Normal 19" xfId="234" xr:uid="{2F4B468B-FFE0-4AAB-AE63-134D45E11248}"/>
    <cellStyle name="Normal 2" xfId="52" xr:uid="{00000000-0005-0000-0000-000037000000}"/>
    <cellStyle name="Normal 2 2" xfId="53" xr:uid="{00000000-0005-0000-0000-000038000000}"/>
    <cellStyle name="Normal 2 2 2" xfId="237" xr:uid="{21597640-5E74-4E50-85F7-8355BBBC64FD}"/>
    <cellStyle name="Normal 2 2 3" xfId="238" xr:uid="{01E17C71-1906-476D-895F-429145D1A594}"/>
    <cellStyle name="Normal 2 2 4" xfId="236" xr:uid="{25FFEC01-527A-4735-886A-85BA1D2A0276}"/>
    <cellStyle name="Normal 2 3" xfId="54" xr:uid="{00000000-0005-0000-0000-000039000000}"/>
    <cellStyle name="Normal 2 3 2" xfId="239" xr:uid="{491D5DB6-A55E-4165-B4C2-D5D9A7EFAF05}"/>
    <cellStyle name="Normal 2 4" xfId="240" xr:uid="{EBC203A1-FB75-4691-8A01-ECCA1889A744}"/>
    <cellStyle name="Normal 2 5" xfId="241" xr:uid="{8E4B92AF-1985-415C-888B-C72CDDD8FF91}"/>
    <cellStyle name="Normal 2 6" xfId="235" xr:uid="{CE1C2706-345B-4A3E-8821-A9E04AE08B29}"/>
    <cellStyle name="Normal 2_PBG_BUSINESS_PLAN_'11-'14-BASEfinal" xfId="55" xr:uid="{00000000-0005-0000-0000-00003A000000}"/>
    <cellStyle name="Normal 20" xfId="182" xr:uid="{00000000-0005-0000-0000-00003B000000}"/>
    <cellStyle name="Normal 20 2" xfId="242" xr:uid="{FFA94CA5-9A6B-44D6-A316-DB09D9B63B33}"/>
    <cellStyle name="Normal 20 3" xfId="333" xr:uid="{23F09574-2B0C-499D-B0EC-D7258E1891BA}"/>
    <cellStyle name="Normal 20 9" xfId="344" xr:uid="{AF9360E7-D1B9-4F39-8470-BC9BC4186BE5}"/>
    <cellStyle name="Normal 21" xfId="188" xr:uid="{DE5D6731-9A26-41B6-949C-91947627DD1A}"/>
    <cellStyle name="Normal 23" xfId="332" xr:uid="{6D796653-EEF4-4793-9AFA-CBCF326B2CAC}"/>
    <cellStyle name="Normal 26" xfId="243" xr:uid="{D787AC51-D735-4E0C-81F6-55D73BCE0D97}"/>
    <cellStyle name="Normal 3" xfId="56" xr:uid="{00000000-0005-0000-0000-00003C000000}"/>
    <cellStyle name="Normal 3 10" xfId="244" xr:uid="{0A7A840E-3C04-4095-B848-A846D28B65A5}"/>
    <cellStyle name="Normal 3 2" xfId="180" xr:uid="{00000000-0005-0000-0000-00003D000000}"/>
    <cellStyle name="Normal 3 2 2" xfId="245" xr:uid="{8E5911C6-9CBB-4AB2-9FAC-18C32D2EBFC6}"/>
    <cellStyle name="Normal 3 3" xfId="246" xr:uid="{347911A7-4911-449D-B529-71D060171837}"/>
    <cellStyle name="Normal 3 4" xfId="247" xr:uid="{08B128DF-6512-40F8-BC84-9F3C0B3B51C5}"/>
    <cellStyle name="Normal 3 5" xfId="248" xr:uid="{7E8CEEAF-C3DA-472F-AF3B-B2821E67B62B}"/>
    <cellStyle name="Normal 3 6" xfId="249" xr:uid="{CD214EB3-0C74-4E89-AE6B-3EDE5AE3FF9F}"/>
    <cellStyle name="Normal 3 7" xfId="250" xr:uid="{FDCEB656-A0F1-47A6-BD54-7A4423A887CE}"/>
    <cellStyle name="Normal 3 8" xfId="251" xr:uid="{52D0304D-C749-4AAB-A1FC-EA05A6FAB34F}"/>
    <cellStyle name="Normal 3 8 2" xfId="287" xr:uid="{5330D73B-69DE-4951-B687-54B8061E8753}"/>
    <cellStyle name="Normal 3 9" xfId="252" xr:uid="{77CA5D6A-FE78-422B-8C5C-6922D110BECE}"/>
    <cellStyle name="Normal 4" xfId="57" xr:uid="{00000000-0005-0000-0000-00003E000000}"/>
    <cellStyle name="Normal 4 2" xfId="254" xr:uid="{2254B5C6-E5A4-45B2-AE51-4E91315BE54C}"/>
    <cellStyle name="Normal 4 3" xfId="253" xr:uid="{09AE8575-6958-4AF6-8F05-4EEAB7B7C672}"/>
    <cellStyle name="Normal 5" xfId="58" xr:uid="{00000000-0005-0000-0000-00003F000000}"/>
    <cellStyle name="Normal 5 2" xfId="59" xr:uid="{00000000-0005-0000-0000-000040000000}"/>
    <cellStyle name="Normal 5 2 2" xfId="338" xr:uid="{16CB18B2-2A1B-4117-95CD-57412B319E16}"/>
    <cellStyle name="Normal 5 3" xfId="60" xr:uid="{00000000-0005-0000-0000-000041000000}"/>
    <cellStyle name="Normal 5 3 2" xfId="339" xr:uid="{787E39AB-5344-4248-8FAA-DF1C5082F38C}"/>
    <cellStyle name="Normal 5 4" xfId="61" xr:uid="{00000000-0005-0000-0000-000042000000}"/>
    <cellStyle name="Normal 5 5" xfId="255" xr:uid="{2378182A-66F5-4B77-A99C-A7B0F2061721}"/>
    <cellStyle name="Normal 5_PBB_BP_2008_2010_20071115_Final" xfId="62" xr:uid="{00000000-0005-0000-0000-000043000000}"/>
    <cellStyle name="Normal 6" xfId="63" xr:uid="{00000000-0005-0000-0000-000044000000}"/>
    <cellStyle name="Normal 6 2" xfId="257" xr:uid="{BB4AD302-A4D3-4FCE-BA9E-5A021314B94A}"/>
    <cellStyle name="Normal 6 3" xfId="256" xr:uid="{1FE63987-A918-479A-BBB6-B5B1F878C2CC}"/>
    <cellStyle name="Normal 7" xfId="64" xr:uid="{00000000-0005-0000-0000-000045000000}"/>
    <cellStyle name="Normal 7 10" xfId="335" xr:uid="{0FA2CF92-9831-40AD-AE3E-DD5F14FF4F7A}"/>
    <cellStyle name="Normal 7 2" xfId="258" xr:uid="{F9347079-DD98-4901-A34E-1DFE6119AB50}"/>
    <cellStyle name="Normal 8" xfId="65" xr:uid="{00000000-0005-0000-0000-000046000000}"/>
    <cellStyle name="Normal 8 2" xfId="259" xr:uid="{57032396-912B-4089-8B0B-1184847E6477}"/>
    <cellStyle name="Normal 9" xfId="66" xr:uid="{00000000-0005-0000-0000-000047000000}"/>
    <cellStyle name="Normal 9 2" xfId="260" xr:uid="{4DE18167-E20E-432B-9D7E-5495AE659032}"/>
    <cellStyle name="Normal 9 3" xfId="261" xr:uid="{47DB3A79-58AB-4DE8-8970-BA4881471CC5}"/>
    <cellStyle name="Normal_BS analysis" xfId="67" xr:uid="{00000000-0005-0000-0000-000048000000}"/>
    <cellStyle name="Normal_Copy of Divisional_Database_4Q09_website" xfId="68" xr:uid="{00000000-0005-0000-0000-000049000000}"/>
    <cellStyle name="Normal_Copy of Divisional_Database_4Q09_website 2" xfId="184" xr:uid="{00000000-0005-0000-0000-00004A000000}"/>
    <cellStyle name="Nota" xfId="262" xr:uid="{527D973E-83C5-4A0C-9139-5D53357A1343}"/>
    <cellStyle name="Nota 2" xfId="346" xr:uid="{57A455D0-C650-4130-80E0-EA52A8DC579E}"/>
    <cellStyle name="Notas 2" xfId="322" xr:uid="{DF6CD02E-05A9-499E-90D4-28590E3D409A}"/>
    <cellStyle name="Notas 2 2" xfId="350" xr:uid="{94786DE0-A24C-4B25-8027-D832A367C3A4}"/>
    <cellStyle name="OPXArea" xfId="69" xr:uid="{00000000-0005-0000-0000-00004B000000}"/>
    <cellStyle name="OPXButtonBar" xfId="70" xr:uid="{00000000-0005-0000-0000-00004C000000}"/>
    <cellStyle name="OPXHeadingArea" xfId="71" xr:uid="{00000000-0005-0000-0000-00004D000000}"/>
    <cellStyle name="OPXHeadingRange" xfId="72" xr:uid="{00000000-0005-0000-0000-00004E000000}"/>
    <cellStyle name="OPXHeadingWorkbook" xfId="73" xr:uid="{00000000-0005-0000-0000-00004F000000}"/>
    <cellStyle name="OPXInDate" xfId="74" xr:uid="{00000000-0005-0000-0000-000050000000}"/>
    <cellStyle name="OPXInFmat1" xfId="75" xr:uid="{00000000-0005-0000-0000-000051000000}"/>
    <cellStyle name="OPXInFmat10" xfId="76" xr:uid="{00000000-0005-0000-0000-000052000000}"/>
    <cellStyle name="OPXInFmat11" xfId="77" xr:uid="{00000000-0005-0000-0000-000053000000}"/>
    <cellStyle name="OPXInFmat2" xfId="78" xr:uid="{00000000-0005-0000-0000-000054000000}"/>
    <cellStyle name="OPXInFmat23" xfId="79" xr:uid="{00000000-0005-0000-0000-000055000000}"/>
    <cellStyle name="OPXInFmat25" xfId="80" xr:uid="{00000000-0005-0000-0000-000056000000}"/>
    <cellStyle name="OPXInFmat26" xfId="81" xr:uid="{00000000-0005-0000-0000-000057000000}"/>
    <cellStyle name="OPXInFmat27" xfId="82" xr:uid="{00000000-0005-0000-0000-000058000000}"/>
    <cellStyle name="OPXInFmat5" xfId="83" xr:uid="{00000000-0005-0000-0000-000059000000}"/>
    <cellStyle name="OPXInFmat6" xfId="84" xr:uid="{00000000-0005-0000-0000-00005A000000}"/>
    <cellStyle name="OPXInFmat7" xfId="85" xr:uid="{00000000-0005-0000-0000-00005B000000}"/>
    <cellStyle name="OPXInFmat8" xfId="86" xr:uid="{00000000-0005-0000-0000-00005C000000}"/>
    <cellStyle name="OPXInFmat9" xfId="87" xr:uid="{00000000-0005-0000-0000-00005D000000}"/>
    <cellStyle name="OPXInFmatRate61" xfId="88" xr:uid="{00000000-0005-0000-0000-00005E000000}"/>
    <cellStyle name="OPXInFmatRate62" xfId="89" xr:uid="{00000000-0005-0000-0000-00005F000000}"/>
    <cellStyle name="OPXInFmatRate63" xfId="90" xr:uid="{00000000-0005-0000-0000-000060000000}"/>
    <cellStyle name="OPXInFmatRate64" xfId="91" xr:uid="{00000000-0005-0000-0000-000061000000}"/>
    <cellStyle name="OPXInFmatRate65" xfId="92" xr:uid="{00000000-0005-0000-0000-000062000000}"/>
    <cellStyle name="OPXInFmatRate66" xfId="93" xr:uid="{00000000-0005-0000-0000-000063000000}"/>
    <cellStyle name="OPXInFmatRate67" xfId="94" xr:uid="{00000000-0005-0000-0000-000064000000}"/>
    <cellStyle name="OPXInFmatRate68" xfId="95" xr:uid="{00000000-0005-0000-0000-000065000000}"/>
    <cellStyle name="OPXInText" xfId="96" xr:uid="{00000000-0005-0000-0000-000066000000}"/>
    <cellStyle name="OPXInTextWrap" xfId="97" xr:uid="{00000000-0005-0000-0000-000067000000}"/>
    <cellStyle name="OPXInTime" xfId="98" xr:uid="{00000000-0005-0000-0000-000068000000}"/>
    <cellStyle name="OPXLiteralCenter" xfId="99" xr:uid="{00000000-0005-0000-0000-000069000000}"/>
    <cellStyle name="OPXLiteralCenterWrap" xfId="100" xr:uid="{00000000-0005-0000-0000-00006A000000}"/>
    <cellStyle name="OPXLiteralDateLeft" xfId="101" xr:uid="{00000000-0005-0000-0000-00006B000000}"/>
    <cellStyle name="OPXLiteralLeft" xfId="102" xr:uid="{00000000-0005-0000-0000-00006C000000}"/>
    <cellStyle name="OPXLiteralLeftWrap" xfId="103" xr:uid="{00000000-0005-0000-0000-00006D000000}"/>
    <cellStyle name="OPXLiteralRight" xfId="104" xr:uid="{00000000-0005-0000-0000-00006E000000}"/>
    <cellStyle name="OPXLiteralRightWrap" xfId="105" xr:uid="{00000000-0005-0000-0000-00006F000000}"/>
    <cellStyle name="OPXOutDate" xfId="106" xr:uid="{00000000-0005-0000-0000-000070000000}"/>
    <cellStyle name="OPXOutFmat1" xfId="107" xr:uid="{00000000-0005-0000-0000-000071000000}"/>
    <cellStyle name="OPXOutFmat10" xfId="108" xr:uid="{00000000-0005-0000-0000-000072000000}"/>
    <cellStyle name="OPXOutFmat11" xfId="109" xr:uid="{00000000-0005-0000-0000-000073000000}"/>
    <cellStyle name="OPXOutFmat2" xfId="110" xr:uid="{00000000-0005-0000-0000-000074000000}"/>
    <cellStyle name="OPXOutFmat23" xfId="111" xr:uid="{00000000-0005-0000-0000-000075000000}"/>
    <cellStyle name="OPXOutFmat25" xfId="112" xr:uid="{00000000-0005-0000-0000-000076000000}"/>
    <cellStyle name="OPXOutFmat26" xfId="113" xr:uid="{00000000-0005-0000-0000-000077000000}"/>
    <cellStyle name="OPXOutFmat27" xfId="114" xr:uid="{00000000-0005-0000-0000-000078000000}"/>
    <cellStyle name="OPXOutFmat5" xfId="115" xr:uid="{00000000-0005-0000-0000-000079000000}"/>
    <cellStyle name="OPXOutFmat6" xfId="116" xr:uid="{00000000-0005-0000-0000-00007A000000}"/>
    <cellStyle name="OPXOutFmat7" xfId="117" xr:uid="{00000000-0005-0000-0000-00007B000000}"/>
    <cellStyle name="OPXOutFmat8" xfId="118" xr:uid="{00000000-0005-0000-0000-00007C000000}"/>
    <cellStyle name="OPXOutFmat9" xfId="119" xr:uid="{00000000-0005-0000-0000-00007D000000}"/>
    <cellStyle name="OPXOutFmatRate61" xfId="120" xr:uid="{00000000-0005-0000-0000-00007E000000}"/>
    <cellStyle name="OPXOutFmatRate62" xfId="121" xr:uid="{00000000-0005-0000-0000-00007F000000}"/>
    <cellStyle name="OPXOutFmatRate63" xfId="122" xr:uid="{00000000-0005-0000-0000-000080000000}"/>
    <cellStyle name="OPXOutFmatRate64" xfId="123" xr:uid="{00000000-0005-0000-0000-000081000000}"/>
    <cellStyle name="OPXOutFmatRate65" xfId="124" xr:uid="{00000000-0005-0000-0000-000082000000}"/>
    <cellStyle name="OPXOutFmatRate66" xfId="125" xr:uid="{00000000-0005-0000-0000-000083000000}"/>
    <cellStyle name="OPXOutFmatRate67" xfId="126" xr:uid="{00000000-0005-0000-0000-000084000000}"/>
    <cellStyle name="OPXOutFmatRate68" xfId="127" xr:uid="{00000000-0005-0000-0000-000085000000}"/>
    <cellStyle name="OPXOutText" xfId="128" xr:uid="{00000000-0005-0000-0000-000086000000}"/>
    <cellStyle name="OPXOutTextWrap" xfId="129" xr:uid="{00000000-0005-0000-0000-000087000000}"/>
    <cellStyle name="OPXOutTime" xfId="130" xr:uid="{00000000-0005-0000-0000-000088000000}"/>
    <cellStyle name="OPXProtected" xfId="131" xr:uid="{00000000-0005-0000-0000-000089000000}"/>
    <cellStyle name="Percent" xfId="132" builtinId="5"/>
    <cellStyle name="Percent 2" xfId="133" xr:uid="{00000000-0005-0000-0000-00008B000000}"/>
    <cellStyle name="Percent 2 2" xfId="185" xr:uid="{00000000-0005-0000-0000-00008C000000}"/>
    <cellStyle name="Percent 2 2 10" xfId="177" xr:uid="{00000000-0005-0000-0000-00008D000000}"/>
    <cellStyle name="Percent 2 3" xfId="342" xr:uid="{45AD7C1F-7264-4E49-950D-369B77657518}"/>
    <cellStyle name="Percent 3" xfId="179" xr:uid="{00000000-0005-0000-0000-00008E000000}"/>
    <cellStyle name="Percent 3 2" xfId="181" xr:uid="{00000000-0005-0000-0000-00008F000000}"/>
    <cellStyle name="Percent 3 3" xfId="343" xr:uid="{00A2F95C-3C71-4289-85EA-2BAEE431C169}"/>
    <cellStyle name="Percent 4" xfId="340" xr:uid="{76B19481-C0F0-4283-A22C-780F829B9C2D}"/>
    <cellStyle name="Percent 5" xfId="183" xr:uid="{00000000-0005-0000-0000-000090000000}"/>
    <cellStyle name="Percent 6" xfId="336" xr:uid="{96F85719-D913-4101-90D0-CF771C1741BB}"/>
    <cellStyle name="Percent 7" xfId="337" xr:uid="{832092AF-40B0-439D-BD0D-5EA229591604}"/>
    <cellStyle name="Porcentual 10" xfId="263" xr:uid="{A0C5675B-4DEF-4EB5-9CCE-E9089DEB4D8A}"/>
    <cellStyle name="Porcentual 11" xfId="264" xr:uid="{F86311E0-025C-4A3F-84B3-54A4F2D9618E}"/>
    <cellStyle name="Porcentual 18" xfId="265" xr:uid="{36191990-25CE-4088-84B3-4A3C7AC8B61B}"/>
    <cellStyle name="Porcentual 2" xfId="266" xr:uid="{8F5C8527-6819-4BD6-AF0C-2BF9DB2452DD}"/>
    <cellStyle name="Porcentual 2 2" xfId="267" xr:uid="{7209F397-EB7C-4CF2-ACBE-E815EBDEAE0D}"/>
    <cellStyle name="Porcentual 3" xfId="268" xr:uid="{5D9DEE43-1AFF-41A2-8DE3-5C4D0E0E87FC}"/>
    <cellStyle name="Porcentual 3 2" xfId="269" xr:uid="{82412CEE-A0BA-44D9-B6D6-30560D34677C}"/>
    <cellStyle name="Porcentual 30" xfId="270" xr:uid="{9F13DCE8-0D2B-4764-9F67-385416CE72EF}"/>
    <cellStyle name="Porcentual 32" xfId="271" xr:uid="{AC2EF77F-9B67-4310-81BC-8F7DA72A419E}"/>
    <cellStyle name="Porcentual 35" xfId="334" xr:uid="{CC60B778-69CD-4AAA-9D24-08D54B99319B}"/>
    <cellStyle name="Porcentual 4" xfId="272" xr:uid="{B3093905-A362-4C4B-A22B-5AD7F5DF3DFD}"/>
    <cellStyle name="Porcentual 5" xfId="273" xr:uid="{C5D41EF2-119A-4B95-BCFC-D3AF0322EDEF}"/>
    <cellStyle name="Porcentual 6" xfId="274" xr:uid="{05F09382-6192-41BE-B1FD-4A235BE2B224}"/>
    <cellStyle name="Porcentual 7" xfId="275" xr:uid="{26AC3F14-FBF6-4213-ADCE-745C14957D46}"/>
    <cellStyle name="Porcentual 8" xfId="276" xr:uid="{4465F50C-E37C-472E-897D-99C4EA2CEB78}"/>
    <cellStyle name="Porcentual 9" xfId="277" xr:uid="{1B478660-9CBC-474D-B315-41D9EE24B26B}"/>
    <cellStyle name="Porcentual 9 2" xfId="278" xr:uid="{3F645154-8EFC-4A29-9F46-EBF28F90A972}"/>
    <cellStyle name="Resultat" xfId="279" xr:uid="{8DBBFD3F-C52D-4298-A038-B27588CCF286}"/>
    <cellStyle name="Resultat 2" xfId="347" xr:uid="{D8AFDD8E-9295-4BF5-8B44-0DA7D0DBD9CB}"/>
    <cellStyle name="Salida 2" xfId="323" xr:uid="{EAF84BCB-77AD-4543-918E-A0F2D81B4D4E}"/>
    <cellStyle name="Salida 2 2" xfId="351" xr:uid="{C843DAF2-EECC-4705-954F-176847A2F099}"/>
    <cellStyle name="Separador de milhares [0]_1.1  ANEXO 1" xfId="134" xr:uid="{00000000-0005-0000-0000-000091000000}"/>
    <cellStyle name="Separador de milhares_1.1  ANEXO 1" xfId="135" xr:uid="{00000000-0005-0000-0000-000092000000}"/>
    <cellStyle name="Standard_#CEE 2001" xfId="136" xr:uid="{00000000-0005-0000-0000-000093000000}"/>
    <cellStyle name="Style 1" xfId="137" xr:uid="{00000000-0005-0000-0000-000094000000}"/>
    <cellStyle name="Text d'advertiment" xfId="280" xr:uid="{B18E7313-5E17-40BF-89DF-05E90B3B07BF}"/>
    <cellStyle name="Text explicatiu" xfId="281" xr:uid="{0DB40476-3F1F-44DA-B17B-7403C0743B10}"/>
    <cellStyle name="Texto de advertencia 2" xfId="324" xr:uid="{5465BE85-A842-4CCB-9191-5F820645F4E0}"/>
    <cellStyle name="Texto explicativo 2" xfId="325" xr:uid="{A749A5C2-9EB9-4847-8CB3-9B4386DCDE4C}"/>
    <cellStyle name="TitleCols_Gen_pC" xfId="138" xr:uid="{00000000-0005-0000-0000-000095000000}"/>
    <cellStyle name="TitleLines_Gen" xfId="139" xr:uid="{00000000-0005-0000-0000-000096000000}"/>
    <cellStyle name="Títol" xfId="282" xr:uid="{BD5D66A5-4AC1-4336-9FF3-40EF383859B2}"/>
    <cellStyle name="Títol 1" xfId="283" xr:uid="{32636E57-70DE-4B96-BCB4-E40A77CA14F5}"/>
    <cellStyle name="Títol 2" xfId="284" xr:uid="{5839A80D-8523-4493-86D2-E46CD65E7EC2}"/>
    <cellStyle name="Títol 3" xfId="285" xr:uid="{8AD44CFB-8B0E-457F-8B61-7088F7DE962E}"/>
    <cellStyle name="Títol 4" xfId="286" xr:uid="{E1A0A5AB-7EDE-4F07-B621-2E0FDD34C1AA}"/>
    <cellStyle name="Título 1 2" xfId="326" xr:uid="{DDA9FEC6-D1C3-45B2-9B54-44E7AB509AEF}"/>
    <cellStyle name="Título 2 2" xfId="327" xr:uid="{22BFDE36-23E9-4445-BBA8-4E55FA436C6F}"/>
    <cellStyle name="Título 3 2" xfId="328" xr:uid="{3D85C531-9024-4D71-A921-3038D14C0E27}"/>
    <cellStyle name="Título 4" xfId="329" xr:uid="{31383B3C-AB68-4467-B274-B7410C722B08}"/>
    <cellStyle name="Total 2" xfId="330" xr:uid="{C2D257E6-4824-4066-9F23-119BE1A821DD}"/>
    <cellStyle name="Total 2 2" xfId="352" xr:uid="{AF29083B-26FB-4D7F-8489-6933CFC35BAE}"/>
    <cellStyle name="Undefiniert" xfId="140" xr:uid="{00000000-0005-0000-0000-000097000000}"/>
    <cellStyle name="Virgulă_BVC 2001-propuneri" xfId="141" xr:uid="{00000000-0005-0000-0000-000098000000}"/>
    <cellStyle name="Währung [0]_1999" xfId="142" xr:uid="{00000000-0005-0000-0000-000099000000}"/>
    <cellStyle name="Währung_1999" xfId="143" xr:uid="{00000000-0005-0000-0000-00009A000000}"/>
    <cellStyle name="Βασικό_12.6.96" xfId="144" xr:uid="{00000000-0005-0000-0000-00009B000000}"/>
    <cellStyle name="Διαχωριστικό χιλιάδων/υποδιαστολή [0]_PIR9906isol_final" xfId="145" xr:uid="{00000000-0005-0000-0000-00009C000000}"/>
    <cellStyle name="Διαχωριστικό χιλιάδων/υποδιαστολή_Bond reconciliation SAP_TVS_MO 06 2007" xfId="146" xr:uid="{00000000-0005-0000-0000-00009D000000}"/>
    <cellStyle name="Εισαγωγή" xfId="147" xr:uid="{00000000-0005-0000-0000-00009E000000}"/>
    <cellStyle name="Έλεγχος κελιού" xfId="148" xr:uid="{00000000-0005-0000-0000-00009F000000}"/>
    <cellStyle name="Έμφαση1" xfId="149" xr:uid="{00000000-0005-0000-0000-0000A0000000}"/>
    <cellStyle name="Έμφαση2" xfId="150" xr:uid="{00000000-0005-0000-0000-0000A1000000}"/>
    <cellStyle name="Έμφαση3" xfId="151" xr:uid="{00000000-0005-0000-0000-0000A2000000}"/>
    <cellStyle name="Έμφαση4" xfId="152" xr:uid="{00000000-0005-0000-0000-0000A3000000}"/>
    <cellStyle name="Έμφαση5" xfId="153" xr:uid="{00000000-0005-0000-0000-0000A4000000}"/>
    <cellStyle name="Έμφαση6" xfId="154" xr:uid="{00000000-0005-0000-0000-0000A5000000}"/>
    <cellStyle name="Έξοδος" xfId="155" xr:uid="{00000000-0005-0000-0000-0000A6000000}"/>
    <cellStyle name="Επεξηγηματικό κείμενο" xfId="156" xr:uid="{00000000-0005-0000-0000-0000A7000000}"/>
    <cellStyle name="Επικεφαλίδα 1" xfId="157" xr:uid="{00000000-0005-0000-0000-0000A8000000}"/>
    <cellStyle name="Επικεφαλίδα 2" xfId="158" xr:uid="{00000000-0005-0000-0000-0000A9000000}"/>
    <cellStyle name="Επικεφαλίδα 3" xfId="159" xr:uid="{00000000-0005-0000-0000-0000AA000000}"/>
    <cellStyle name="Επικεφαλίδα 4" xfId="160" xr:uid="{00000000-0005-0000-0000-0000AB000000}"/>
    <cellStyle name="Κακό" xfId="161" xr:uid="{00000000-0005-0000-0000-0000AC000000}"/>
    <cellStyle name="Καλό" xfId="162" xr:uid="{00000000-0005-0000-0000-0000AD000000}"/>
    <cellStyle name="Κανονικό 2" xfId="163" xr:uid="{00000000-0005-0000-0000-0000AE000000}"/>
    <cellStyle name="Κανονικό 3" xfId="164" xr:uid="{00000000-0005-0000-0000-0000AF000000}"/>
    <cellStyle name="Κανονικό 4" xfId="165" xr:uid="{00000000-0005-0000-0000-0000B0000000}"/>
    <cellStyle name="Κόμμα 2" xfId="166" xr:uid="{00000000-0005-0000-0000-0000B1000000}"/>
    <cellStyle name="Κόμμα 3" xfId="167" xr:uid="{00000000-0005-0000-0000-0000B2000000}"/>
    <cellStyle name="Νομισματικό [0]_PIR9906isol_final" xfId="168" xr:uid="{00000000-0005-0000-0000-0000B3000000}"/>
    <cellStyle name="Νομισματικό_PIR9906isol_final" xfId="169" xr:uid="{00000000-0005-0000-0000-0000B4000000}"/>
    <cellStyle name="Ουδέτερο" xfId="170" xr:uid="{00000000-0005-0000-0000-0000B5000000}"/>
    <cellStyle name="Προειδοποιητικό κείμενο" xfId="171" xr:uid="{00000000-0005-0000-0000-0000B6000000}"/>
    <cellStyle name="Σημείωση" xfId="172" xr:uid="{00000000-0005-0000-0000-0000B7000000}"/>
    <cellStyle name="Συνδεδεμένο κελί" xfId="173" xr:uid="{00000000-0005-0000-0000-0000B8000000}"/>
    <cellStyle name="Σύνολο" xfId="174" xr:uid="{00000000-0005-0000-0000-0000B9000000}"/>
    <cellStyle name="Τίτλος" xfId="175" xr:uid="{00000000-0005-0000-0000-0000BA000000}"/>
    <cellStyle name="Υπολογισμός" xfId="176" xr:uid="{00000000-0005-0000-0000-0000BB000000}"/>
  </cellStyles>
  <dxfs count="0"/>
  <tableStyles count="0" defaultTableStyle="TableStyleMedium9" defaultPivotStyle="PivotStyleLight16"/>
  <colors>
    <mruColors>
      <color rgb="FF000080"/>
      <color rgb="FFFFDE75"/>
      <color rgb="FF00B0F0"/>
      <color rgb="FFFFFF99"/>
      <color rgb="FFFFFF66"/>
      <color rgb="FFFFFFCC"/>
      <color rgb="FF000000"/>
      <color rgb="FFC0C0C0"/>
      <color rgb="FF009AD8"/>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97175</xdr:colOff>
      <xdr:row>0</xdr:row>
      <xdr:rowOff>33628</xdr:rowOff>
    </xdr:from>
    <xdr:to>
      <xdr:col>3</xdr:col>
      <xdr:colOff>448965</xdr:colOff>
      <xdr:row>9</xdr:row>
      <xdr:rowOff>163168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75" y="33628"/>
          <a:ext cx="1494790" cy="14947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31753</xdr:colOff>
      <xdr:row>0</xdr:row>
      <xdr:rowOff>23812</xdr:rowOff>
    </xdr:from>
    <xdr:to>
      <xdr:col>1</xdr:col>
      <xdr:colOff>2308437</xdr:colOff>
      <xdr:row>3</xdr:row>
      <xdr:rowOff>189803</xdr:rowOff>
    </xdr:to>
    <xdr:pic>
      <xdr:nvPicPr>
        <xdr:cNvPr id="2" name="Picture 1">
          <a:extLst>
            <a:ext uri="{FF2B5EF4-FFF2-40B4-BE49-F238E27FC236}">
              <a16:creationId xmlns:a16="http://schemas.microsoft.com/office/drawing/2014/main" id="{3B8AA3CA-4294-4777-A1F3-841048A55542}"/>
            </a:ext>
          </a:extLst>
        </xdr:cNvPr>
        <xdr:cNvPicPr>
          <a:picLocks noChangeAspect="1"/>
        </xdr:cNvPicPr>
      </xdr:nvPicPr>
      <xdr:blipFill>
        <a:blip xmlns:r="http://schemas.openxmlformats.org/officeDocument/2006/relationships" r:embed="rId1"/>
        <a:stretch>
          <a:fillRect/>
        </a:stretch>
      </xdr:blipFill>
      <xdr:spPr>
        <a:xfrm>
          <a:off x="31753" y="23812"/>
          <a:ext cx="2435434" cy="7692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84668</xdr:colOff>
      <xdr:row>0</xdr:row>
      <xdr:rowOff>21166</xdr:rowOff>
    </xdr:from>
    <xdr:to>
      <xdr:col>1</xdr:col>
      <xdr:colOff>2369290</xdr:colOff>
      <xdr:row>3</xdr:row>
      <xdr:rowOff>191126</xdr:rowOff>
    </xdr:to>
    <xdr:pic>
      <xdr:nvPicPr>
        <xdr:cNvPr id="4" name="Picture 3">
          <a:extLst>
            <a:ext uri="{FF2B5EF4-FFF2-40B4-BE49-F238E27FC236}">
              <a16:creationId xmlns:a16="http://schemas.microsoft.com/office/drawing/2014/main" id="{3E628AD7-A13B-4CB2-8AA0-64FA9D98135C}"/>
            </a:ext>
          </a:extLst>
        </xdr:cNvPr>
        <xdr:cNvPicPr>
          <a:picLocks noChangeAspect="1"/>
        </xdr:cNvPicPr>
      </xdr:nvPicPr>
      <xdr:blipFill>
        <a:blip xmlns:r="http://schemas.openxmlformats.org/officeDocument/2006/relationships" r:embed="rId1"/>
        <a:stretch>
          <a:fillRect/>
        </a:stretch>
      </xdr:blipFill>
      <xdr:spPr>
        <a:xfrm>
          <a:off x="84668" y="21166"/>
          <a:ext cx="2443372" cy="7732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42333</xdr:colOff>
      <xdr:row>0</xdr:row>
      <xdr:rowOff>42332</xdr:rowOff>
    </xdr:from>
    <xdr:to>
      <xdr:col>1</xdr:col>
      <xdr:colOff>2326955</xdr:colOff>
      <xdr:row>3</xdr:row>
      <xdr:rowOff>212292</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42333" y="42332"/>
          <a:ext cx="2443372" cy="7732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31751</xdr:colOff>
      <xdr:row>0</xdr:row>
      <xdr:rowOff>21167</xdr:rowOff>
    </xdr:from>
    <xdr:to>
      <xdr:col>1</xdr:col>
      <xdr:colOff>2268009</xdr:colOff>
      <xdr:row>3</xdr:row>
      <xdr:rowOff>190500</xdr:rowOff>
    </xdr:to>
    <xdr:pic>
      <xdr:nvPicPr>
        <xdr:cNvPr id="4" name="Picture 3">
          <a:extLst>
            <a:ext uri="{FF2B5EF4-FFF2-40B4-BE49-F238E27FC236}">
              <a16:creationId xmlns:a16="http://schemas.microsoft.com/office/drawing/2014/main" id="{8DB63376-6CEE-4F67-B560-922EA175F52C}"/>
            </a:ext>
          </a:extLst>
        </xdr:cNvPr>
        <xdr:cNvPicPr>
          <a:picLocks noChangeAspect="1"/>
        </xdr:cNvPicPr>
      </xdr:nvPicPr>
      <xdr:blipFill>
        <a:blip xmlns:r="http://schemas.openxmlformats.org/officeDocument/2006/relationships" r:embed="rId1"/>
        <a:stretch>
          <a:fillRect/>
        </a:stretch>
      </xdr:blipFill>
      <xdr:spPr>
        <a:xfrm>
          <a:off x="31751" y="21167"/>
          <a:ext cx="2395008" cy="7725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42956</xdr:colOff>
      <xdr:row>0</xdr:row>
      <xdr:rowOff>32994</xdr:rowOff>
    </xdr:from>
    <xdr:to>
      <xdr:col>1</xdr:col>
      <xdr:colOff>2329446</xdr:colOff>
      <xdr:row>4</xdr:row>
      <xdr:rowOff>3</xdr:rowOff>
    </xdr:to>
    <xdr:pic>
      <xdr:nvPicPr>
        <xdr:cNvPr id="2" name="Picture 1">
          <a:extLst>
            <a:ext uri="{FF2B5EF4-FFF2-40B4-BE49-F238E27FC236}">
              <a16:creationId xmlns:a16="http://schemas.microsoft.com/office/drawing/2014/main" id="{22134CDD-8A4C-4404-9D91-9177EBA72572}"/>
            </a:ext>
          </a:extLst>
        </xdr:cNvPr>
        <xdr:cNvPicPr>
          <a:picLocks noChangeAspect="1"/>
        </xdr:cNvPicPr>
      </xdr:nvPicPr>
      <xdr:blipFill>
        <a:blip xmlns:r="http://schemas.openxmlformats.org/officeDocument/2006/relationships" r:embed="rId1"/>
        <a:stretch>
          <a:fillRect/>
        </a:stretch>
      </xdr:blipFill>
      <xdr:spPr>
        <a:xfrm>
          <a:off x="42956" y="32994"/>
          <a:ext cx="2448415" cy="76710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31751</xdr:colOff>
      <xdr:row>0</xdr:row>
      <xdr:rowOff>31750</xdr:rowOff>
    </xdr:from>
    <xdr:to>
      <xdr:col>1</xdr:col>
      <xdr:colOff>2316373</xdr:colOff>
      <xdr:row>4</xdr:row>
      <xdr:rowOff>627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31751" y="31750"/>
          <a:ext cx="2443372" cy="7732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33075</xdr:colOff>
      <xdr:row>0</xdr:row>
      <xdr:rowOff>23813</xdr:rowOff>
    </xdr:from>
    <xdr:to>
      <xdr:col>1</xdr:col>
      <xdr:colOff>2309759</xdr:colOff>
      <xdr:row>3</xdr:row>
      <xdr:rowOff>189804</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33075" y="23813"/>
          <a:ext cx="2435434" cy="769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21169</xdr:colOff>
      <xdr:row>0</xdr:row>
      <xdr:rowOff>23812</xdr:rowOff>
    </xdr:from>
    <xdr:to>
      <xdr:col>1</xdr:col>
      <xdr:colOff>2297853</xdr:colOff>
      <xdr:row>3</xdr:row>
      <xdr:rowOff>189803</xdr:rowOff>
    </xdr:to>
    <xdr:pic>
      <xdr:nvPicPr>
        <xdr:cNvPr id="2" name="Picture 1">
          <a:extLst>
            <a:ext uri="{FF2B5EF4-FFF2-40B4-BE49-F238E27FC236}">
              <a16:creationId xmlns:a16="http://schemas.microsoft.com/office/drawing/2014/main" id="{19CF8A76-DEA8-4642-9A96-BAC01E41C911}"/>
            </a:ext>
          </a:extLst>
        </xdr:cNvPr>
        <xdr:cNvPicPr>
          <a:picLocks noChangeAspect="1"/>
        </xdr:cNvPicPr>
      </xdr:nvPicPr>
      <xdr:blipFill>
        <a:blip xmlns:r="http://schemas.openxmlformats.org/officeDocument/2006/relationships" r:embed="rId1"/>
        <a:stretch>
          <a:fillRect/>
        </a:stretch>
      </xdr:blipFill>
      <xdr:spPr>
        <a:xfrm>
          <a:off x="21169" y="23812"/>
          <a:ext cx="2435434" cy="769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21169</xdr:colOff>
      <xdr:row>0</xdr:row>
      <xdr:rowOff>23812</xdr:rowOff>
    </xdr:from>
    <xdr:to>
      <xdr:col>1</xdr:col>
      <xdr:colOff>2297853</xdr:colOff>
      <xdr:row>3</xdr:row>
      <xdr:rowOff>189803</xdr:rowOff>
    </xdr:to>
    <xdr:pic>
      <xdr:nvPicPr>
        <xdr:cNvPr id="2" name="Picture 1">
          <a:extLst>
            <a:ext uri="{FF2B5EF4-FFF2-40B4-BE49-F238E27FC236}">
              <a16:creationId xmlns:a16="http://schemas.microsoft.com/office/drawing/2014/main" id="{2ECA4E14-DE14-4CB1-B224-7E913996E662}"/>
            </a:ext>
          </a:extLst>
        </xdr:cNvPr>
        <xdr:cNvPicPr>
          <a:picLocks noChangeAspect="1"/>
        </xdr:cNvPicPr>
      </xdr:nvPicPr>
      <xdr:blipFill>
        <a:blip xmlns:r="http://schemas.openxmlformats.org/officeDocument/2006/relationships" r:embed="rId1"/>
        <a:stretch>
          <a:fillRect/>
        </a:stretch>
      </xdr:blipFill>
      <xdr:spPr>
        <a:xfrm>
          <a:off x="21169" y="23812"/>
          <a:ext cx="2438609" cy="766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21748</xdr:colOff>
      <xdr:row>0</xdr:row>
      <xdr:rowOff>22408</xdr:rowOff>
    </xdr:from>
    <xdr:to>
      <xdr:col>1</xdr:col>
      <xdr:colOff>2308238</xdr:colOff>
      <xdr:row>3</xdr:row>
      <xdr:rowOff>190500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1748" y="22408"/>
          <a:ext cx="2445240" cy="7713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21169</xdr:colOff>
      <xdr:row>0</xdr:row>
      <xdr:rowOff>23812</xdr:rowOff>
    </xdr:from>
    <xdr:to>
      <xdr:col>1</xdr:col>
      <xdr:colOff>2297853</xdr:colOff>
      <xdr:row>3</xdr:row>
      <xdr:rowOff>189803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21169" y="23812"/>
          <a:ext cx="2435434" cy="7692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21170</xdr:colOff>
      <xdr:row>0</xdr:row>
      <xdr:rowOff>23812</xdr:rowOff>
    </xdr:from>
    <xdr:to>
      <xdr:col>1</xdr:col>
      <xdr:colOff>2297854</xdr:colOff>
      <xdr:row>3</xdr:row>
      <xdr:rowOff>189803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1170" y="23812"/>
          <a:ext cx="2435434" cy="7692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21171</xdr:colOff>
      <xdr:row>0</xdr:row>
      <xdr:rowOff>34395</xdr:rowOff>
    </xdr:from>
    <xdr:to>
      <xdr:col>1</xdr:col>
      <xdr:colOff>2297855</xdr:colOff>
      <xdr:row>4</xdr:row>
      <xdr:rowOff>1604</xdr:rowOff>
    </xdr:to>
    <xdr:pic>
      <xdr:nvPicPr>
        <xdr:cNvPr id="3" name="Picture 2">
          <a:extLst>
            <a:ext uri="{FF2B5EF4-FFF2-40B4-BE49-F238E27FC236}">
              <a16:creationId xmlns:a16="http://schemas.microsoft.com/office/drawing/2014/main" id="{02EBF5B5-C266-4126-93FD-671BB6FA8F8D}"/>
            </a:ext>
          </a:extLst>
        </xdr:cNvPr>
        <xdr:cNvPicPr>
          <a:picLocks noChangeAspect="1"/>
        </xdr:cNvPicPr>
      </xdr:nvPicPr>
      <xdr:blipFill>
        <a:blip xmlns:r="http://schemas.openxmlformats.org/officeDocument/2006/relationships" r:embed="rId1"/>
        <a:stretch>
          <a:fillRect/>
        </a:stretch>
      </xdr:blipFill>
      <xdr:spPr>
        <a:xfrm>
          <a:off x="21171" y="34395"/>
          <a:ext cx="2435434" cy="7692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52922</xdr:colOff>
      <xdr:row>0</xdr:row>
      <xdr:rowOff>34396</xdr:rowOff>
    </xdr:from>
    <xdr:to>
      <xdr:col>2</xdr:col>
      <xdr:colOff>588648</xdr:colOff>
      <xdr:row>3</xdr:row>
      <xdr:rowOff>200387</xdr:rowOff>
    </xdr:to>
    <xdr:pic>
      <xdr:nvPicPr>
        <xdr:cNvPr id="3" name="Picture 2">
          <a:extLst>
            <a:ext uri="{FF2B5EF4-FFF2-40B4-BE49-F238E27FC236}">
              <a16:creationId xmlns:a16="http://schemas.microsoft.com/office/drawing/2014/main" id="{637A8E49-1EC3-42A4-B9ED-294701F463BD}"/>
            </a:ext>
          </a:extLst>
        </xdr:cNvPr>
        <xdr:cNvPicPr>
          <a:picLocks noChangeAspect="1"/>
        </xdr:cNvPicPr>
      </xdr:nvPicPr>
      <xdr:blipFill>
        <a:blip xmlns:r="http://schemas.openxmlformats.org/officeDocument/2006/relationships" r:embed="rId1"/>
        <a:stretch>
          <a:fillRect/>
        </a:stretch>
      </xdr:blipFill>
      <xdr:spPr>
        <a:xfrm>
          <a:off x="52922" y="34396"/>
          <a:ext cx="2435434" cy="7692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42339</xdr:colOff>
      <xdr:row>0</xdr:row>
      <xdr:rowOff>23813</xdr:rowOff>
    </xdr:from>
    <xdr:to>
      <xdr:col>1</xdr:col>
      <xdr:colOff>2319023</xdr:colOff>
      <xdr:row>3</xdr:row>
      <xdr:rowOff>189804</xdr:rowOff>
    </xdr:to>
    <xdr:pic>
      <xdr:nvPicPr>
        <xdr:cNvPr id="4" name="Picture 3">
          <a:extLst>
            <a:ext uri="{FF2B5EF4-FFF2-40B4-BE49-F238E27FC236}">
              <a16:creationId xmlns:a16="http://schemas.microsoft.com/office/drawing/2014/main" id="{EFDBE04C-672E-4AEA-A06A-C1AB8C69963B}"/>
            </a:ext>
          </a:extLst>
        </xdr:cNvPr>
        <xdr:cNvPicPr>
          <a:picLocks noChangeAspect="1"/>
        </xdr:cNvPicPr>
      </xdr:nvPicPr>
      <xdr:blipFill>
        <a:blip xmlns:r="http://schemas.openxmlformats.org/officeDocument/2006/relationships" r:embed="rId1"/>
        <a:stretch>
          <a:fillRect/>
        </a:stretch>
      </xdr:blipFill>
      <xdr:spPr>
        <a:xfrm>
          <a:off x="42339" y="23813"/>
          <a:ext cx="2435434" cy="7692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5">
    <pageSetUpPr fitToPage="1"/>
  </sheetPr>
  <dimension ref="A1:G60"/>
  <sheetViews>
    <sheetView showGridLines="0" tabSelected="1" view="pageBreakPreview" zoomScale="80" zoomScaleNormal="85" zoomScaleSheetLayoutView="80" workbookViewId="0">
      <selection activeCell="E19" sqref="E19"/>
    </sheetView>
  </sheetViews>
  <sheetFormatPr defaultColWidth="9.140625" defaultRowHeight="15.75" x14ac:dyDescent="0.25"/>
  <cols>
    <col min="1" max="1" width="2.42578125" style="19" customWidth="1"/>
    <col min="2" max="2" width="6.140625" style="19" customWidth="1"/>
    <col min="3" max="3" width="8.5703125" style="8" customWidth="1"/>
    <col min="4" max="4" width="47.85546875" style="19" bestFit="1" customWidth="1"/>
    <col min="5" max="5" width="18.42578125" style="54" customWidth="1"/>
    <col min="6" max="6" width="21.42578125" style="19" customWidth="1"/>
    <col min="7" max="7" width="3.7109375" style="19" customWidth="1"/>
    <col min="8" max="16384" width="9.140625" style="19"/>
  </cols>
  <sheetData>
    <row r="1" spans="1:7" ht="12.75" customHeight="1" x14ac:dyDescent="0.25">
      <c r="A1" s="8"/>
      <c r="B1" s="27"/>
      <c r="C1" s="27"/>
      <c r="D1" s="8"/>
      <c r="E1" s="52"/>
      <c r="F1" s="8"/>
      <c r="G1" s="8"/>
    </row>
    <row r="2" spans="1:7" x14ac:dyDescent="0.25">
      <c r="A2" s="8"/>
      <c r="B2" s="21"/>
      <c r="C2" s="21"/>
      <c r="D2" s="8"/>
      <c r="E2" s="52"/>
      <c r="F2" s="8"/>
      <c r="G2" s="8"/>
    </row>
    <row r="3" spans="1:7" x14ac:dyDescent="0.25">
      <c r="A3" s="8"/>
      <c r="B3" s="21"/>
      <c r="C3" s="21"/>
      <c r="D3" s="8"/>
      <c r="E3" s="52"/>
      <c r="F3" s="8"/>
      <c r="G3" s="8"/>
    </row>
    <row r="4" spans="1:7" x14ac:dyDescent="0.25">
      <c r="A4" s="8"/>
      <c r="B4" s="21"/>
      <c r="C4" s="21"/>
      <c r="D4" s="8"/>
      <c r="E4" s="52"/>
      <c r="F4" s="8"/>
    </row>
    <row r="5" spans="1:7" x14ac:dyDescent="0.25">
      <c r="B5" s="298"/>
      <c r="D5" s="298"/>
      <c r="E5" s="297"/>
      <c r="F5" s="298"/>
    </row>
    <row r="6" spans="1:7" x14ac:dyDescent="0.25">
      <c r="B6" s="298"/>
      <c r="D6" s="298"/>
      <c r="E6" s="297"/>
      <c r="F6" s="298"/>
    </row>
    <row r="7" spans="1:7" hidden="1" x14ac:dyDescent="0.25">
      <c r="B7" s="20"/>
      <c r="D7" s="20"/>
      <c r="E7" s="53"/>
      <c r="F7" s="20"/>
    </row>
    <row r="8" spans="1:7" hidden="1" x14ac:dyDescent="0.25">
      <c r="B8" s="20"/>
      <c r="D8" s="20"/>
      <c r="E8" s="53"/>
      <c r="F8" s="20"/>
    </row>
    <row r="9" spans="1:7" x14ac:dyDescent="0.25">
      <c r="B9" s="21"/>
      <c r="C9" s="21"/>
    </row>
    <row r="10" spans="1:7" x14ac:dyDescent="0.25">
      <c r="B10" s="21"/>
      <c r="C10" s="21"/>
    </row>
    <row r="11" spans="1:7" x14ac:dyDescent="0.25">
      <c r="B11" s="21"/>
      <c r="C11" s="21"/>
    </row>
    <row r="12" spans="1:7" x14ac:dyDescent="0.25">
      <c r="B12" s="21"/>
      <c r="C12" s="21"/>
    </row>
    <row r="13" spans="1:7" x14ac:dyDescent="0.25">
      <c r="B13" s="21"/>
      <c r="C13" s="21"/>
    </row>
    <row r="14" spans="1:7" x14ac:dyDescent="0.25">
      <c r="B14" s="21"/>
      <c r="C14" s="21"/>
    </row>
    <row r="15" spans="1:7" ht="40.5" customHeight="1" x14ac:dyDescent="0.2">
      <c r="B15" s="936" t="s">
        <v>271</v>
      </c>
      <c r="C15" s="936"/>
      <c r="D15" s="936"/>
      <c r="E15" s="936"/>
      <c r="F15" s="936"/>
    </row>
    <row r="16" spans="1:7" x14ac:dyDescent="0.25">
      <c r="B16" s="21"/>
      <c r="C16" s="21"/>
    </row>
    <row r="17" spans="2:6" x14ac:dyDescent="0.25">
      <c r="B17" s="21"/>
      <c r="C17" s="21"/>
    </row>
    <row r="18" spans="2:6" ht="13.5" customHeight="1" x14ac:dyDescent="0.25">
      <c r="B18" s="21"/>
      <c r="C18" s="21"/>
      <c r="F18" s="54"/>
    </row>
    <row r="19" spans="2:6" x14ac:dyDescent="0.25">
      <c r="B19" s="21"/>
      <c r="C19" s="21"/>
      <c r="D19" s="68"/>
      <c r="F19" s="54"/>
    </row>
    <row r="20" spans="2:6" x14ac:dyDescent="0.25">
      <c r="B20" s="21"/>
      <c r="C20" s="21"/>
      <c r="D20" s="22" t="s">
        <v>313</v>
      </c>
      <c r="E20" s="23">
        <v>1</v>
      </c>
      <c r="F20" s="54"/>
    </row>
    <row r="21" spans="2:6" x14ac:dyDescent="0.25">
      <c r="B21" s="21"/>
      <c r="C21" s="21"/>
      <c r="D21" s="515" t="s">
        <v>314</v>
      </c>
      <c r="E21" s="25">
        <v>2</v>
      </c>
      <c r="F21" s="54"/>
    </row>
    <row r="22" spans="2:6" ht="17.25" customHeight="1" x14ac:dyDescent="0.25">
      <c r="B22" s="21"/>
      <c r="C22" s="67"/>
      <c r="D22" s="22" t="s">
        <v>315</v>
      </c>
      <c r="E22" s="25">
        <v>3</v>
      </c>
      <c r="F22" s="54"/>
    </row>
    <row r="23" spans="2:6" ht="17.25" customHeight="1" x14ac:dyDescent="0.25">
      <c r="B23" s="21"/>
      <c r="C23" s="67"/>
      <c r="D23" s="22" t="s">
        <v>316</v>
      </c>
      <c r="E23" s="25">
        <v>4</v>
      </c>
      <c r="F23" s="54"/>
    </row>
    <row r="24" spans="2:6" ht="17.25" customHeight="1" x14ac:dyDescent="0.25">
      <c r="B24" s="21"/>
      <c r="C24" s="21"/>
      <c r="D24" s="24" t="s">
        <v>317</v>
      </c>
      <c r="E24" s="55"/>
      <c r="F24" s="54"/>
    </row>
    <row r="25" spans="2:6" ht="17.25" customHeight="1" x14ac:dyDescent="0.25">
      <c r="B25" s="21"/>
      <c r="C25" s="21"/>
      <c r="D25" s="24" t="s">
        <v>220</v>
      </c>
      <c r="E25" s="55"/>
      <c r="F25" s="54"/>
    </row>
    <row r="26" spans="2:6" ht="17.25" customHeight="1" x14ac:dyDescent="0.25">
      <c r="B26" s="21"/>
      <c r="C26" s="21"/>
      <c r="D26" s="24" t="s">
        <v>318</v>
      </c>
      <c r="E26" s="55"/>
      <c r="F26" s="54"/>
    </row>
    <row r="27" spans="2:6" ht="17.25" customHeight="1" x14ac:dyDescent="0.25">
      <c r="B27" s="21"/>
      <c r="C27" s="21"/>
      <c r="D27" s="24" t="s">
        <v>319</v>
      </c>
      <c r="E27" s="55"/>
      <c r="F27" s="54"/>
    </row>
    <row r="28" spans="2:6" ht="17.25" customHeight="1" x14ac:dyDescent="0.25">
      <c r="B28" s="21"/>
      <c r="C28" s="67"/>
      <c r="D28" s="22" t="s">
        <v>52</v>
      </c>
      <c r="E28" s="23">
        <v>5</v>
      </c>
      <c r="F28" s="23"/>
    </row>
    <row r="29" spans="2:6" ht="17.25" customHeight="1" x14ac:dyDescent="0.25">
      <c r="B29" s="21"/>
      <c r="C29" s="21"/>
      <c r="D29" s="22" t="s">
        <v>1</v>
      </c>
      <c r="E29" s="23">
        <v>6</v>
      </c>
      <c r="F29" s="23"/>
    </row>
    <row r="30" spans="2:6" ht="17.25" customHeight="1" x14ac:dyDescent="0.25">
      <c r="B30" s="21"/>
      <c r="C30" s="21"/>
      <c r="D30" s="22" t="s">
        <v>248</v>
      </c>
      <c r="E30" s="23">
        <v>7</v>
      </c>
      <c r="F30" s="23"/>
    </row>
    <row r="31" spans="2:6" ht="17.25" customHeight="1" x14ac:dyDescent="0.25">
      <c r="B31" s="21"/>
      <c r="C31" s="21"/>
      <c r="D31" s="932" t="s">
        <v>320</v>
      </c>
      <c r="E31" s="931">
        <v>8</v>
      </c>
      <c r="F31" s="23"/>
    </row>
    <row r="32" spans="2:6" ht="17.25" customHeight="1" x14ac:dyDescent="0.25">
      <c r="B32" s="21"/>
      <c r="C32" s="21"/>
      <c r="D32" s="22" t="s">
        <v>321</v>
      </c>
      <c r="E32" s="23">
        <v>9</v>
      </c>
      <c r="F32" s="23"/>
    </row>
    <row r="33" spans="2:6" ht="17.25" customHeight="1" x14ac:dyDescent="0.25">
      <c r="B33" s="21"/>
      <c r="C33" s="21"/>
      <c r="D33" s="22" t="s">
        <v>322</v>
      </c>
      <c r="E33" s="23">
        <v>10</v>
      </c>
      <c r="F33" s="23"/>
    </row>
    <row r="34" spans="2:6" ht="17.25" customHeight="1" x14ac:dyDescent="0.25">
      <c r="B34" s="21"/>
      <c r="C34" s="21"/>
      <c r="D34" s="22" t="s">
        <v>323</v>
      </c>
      <c r="E34" s="23">
        <v>11</v>
      </c>
      <c r="F34" s="23"/>
    </row>
    <row r="35" spans="2:6" ht="17.25" customHeight="1" x14ac:dyDescent="0.25">
      <c r="B35" s="21"/>
      <c r="C35" s="21"/>
      <c r="D35" s="22" t="s">
        <v>324</v>
      </c>
      <c r="E35" s="23">
        <v>12</v>
      </c>
      <c r="F35" s="23"/>
    </row>
    <row r="36" spans="2:6" ht="17.25" customHeight="1" x14ac:dyDescent="0.25">
      <c r="B36" s="21"/>
      <c r="C36" s="21"/>
      <c r="D36" s="22" t="s">
        <v>325</v>
      </c>
      <c r="E36" s="23">
        <v>13</v>
      </c>
      <c r="F36" s="23"/>
    </row>
    <row r="37" spans="2:6" ht="17.25" customHeight="1" x14ac:dyDescent="0.25">
      <c r="B37" s="21"/>
      <c r="C37" s="21"/>
      <c r="D37" s="22" t="s">
        <v>326</v>
      </c>
      <c r="E37" s="23">
        <v>14</v>
      </c>
      <c r="F37" s="23"/>
    </row>
    <row r="38" spans="2:6" ht="17.25" customHeight="1" x14ac:dyDescent="0.25">
      <c r="B38" s="21"/>
      <c r="C38" s="21"/>
      <c r="D38" s="22" t="s">
        <v>327</v>
      </c>
      <c r="E38" s="23">
        <v>15</v>
      </c>
      <c r="F38" s="23"/>
    </row>
    <row r="39" spans="2:6" ht="17.25" customHeight="1" x14ac:dyDescent="0.25">
      <c r="B39" s="21"/>
      <c r="C39" s="21"/>
      <c r="D39" s="121" t="s">
        <v>58</v>
      </c>
      <c r="E39" s="22"/>
      <c r="F39" s="54"/>
    </row>
    <row r="40" spans="2:6" ht="17.25" customHeight="1" x14ac:dyDescent="0.25">
      <c r="B40" s="21"/>
      <c r="C40" s="21"/>
      <c r="D40" s="24" t="s">
        <v>59</v>
      </c>
      <c r="F40" s="54"/>
    </row>
    <row r="41" spans="2:6" ht="17.25" customHeight="1" x14ac:dyDescent="0.25">
      <c r="B41" s="21"/>
      <c r="C41" s="21"/>
      <c r="D41" s="24" t="s">
        <v>19</v>
      </c>
      <c r="F41" s="54"/>
    </row>
    <row r="42" spans="2:6" ht="17.25" customHeight="1" x14ac:dyDescent="0.25">
      <c r="B42" s="21"/>
      <c r="C42" s="21"/>
      <c r="D42" s="24" t="s">
        <v>121</v>
      </c>
      <c r="F42" s="54"/>
    </row>
    <row r="43" spans="2:6" ht="17.25" customHeight="1" x14ac:dyDescent="0.25">
      <c r="B43" s="21"/>
      <c r="C43" s="21"/>
      <c r="D43" s="24" t="s">
        <v>20</v>
      </c>
    </row>
    <row r="44" spans="2:6" ht="15" x14ac:dyDescent="0.2">
      <c r="B44" s="21"/>
      <c r="C44" s="21"/>
      <c r="D44" s="24"/>
      <c r="E44" s="68"/>
    </row>
    <row r="45" spans="2:6" x14ac:dyDescent="0.25">
      <c r="B45" s="21"/>
      <c r="C45" s="21"/>
    </row>
    <row r="46" spans="2:6" x14ac:dyDescent="0.25">
      <c r="B46" s="21"/>
      <c r="C46" s="21"/>
    </row>
    <row r="47" spans="2:6" ht="15" customHeight="1" x14ac:dyDescent="0.2">
      <c r="B47" s="934"/>
      <c r="C47" s="934"/>
      <c r="D47" s="934"/>
      <c r="E47" s="934"/>
      <c r="F47" s="934"/>
    </row>
    <row r="48" spans="2:6" ht="15.75" customHeight="1" x14ac:dyDescent="0.2">
      <c r="B48" s="935"/>
      <c r="C48" s="935"/>
      <c r="D48" s="935"/>
      <c r="E48" s="935"/>
      <c r="F48" s="935"/>
    </row>
    <row r="49" spans="2:6" ht="15.75" customHeight="1" x14ac:dyDescent="0.2">
      <c r="B49" s="935"/>
      <c r="C49" s="935"/>
      <c r="D49" s="935"/>
      <c r="E49" s="935"/>
      <c r="F49" s="935"/>
    </row>
    <row r="50" spans="2:6" ht="15.75" customHeight="1" x14ac:dyDescent="0.2">
      <c r="B50" s="935"/>
      <c r="C50" s="935"/>
      <c r="D50" s="935"/>
      <c r="E50" s="935"/>
      <c r="F50" s="935"/>
    </row>
    <row r="51" spans="2:6" ht="15.75" customHeight="1" x14ac:dyDescent="0.2">
      <c r="B51" s="935"/>
      <c r="C51" s="935"/>
      <c r="D51" s="935"/>
      <c r="E51" s="935"/>
      <c r="F51" s="935"/>
    </row>
    <row r="52" spans="2:6" ht="12.75" customHeight="1" x14ac:dyDescent="0.25"/>
    <row r="53" spans="2:6" ht="12.75" customHeight="1" x14ac:dyDescent="0.25"/>
    <row r="54" spans="2:6" ht="12.75" customHeight="1" x14ac:dyDescent="0.25"/>
    <row r="55" spans="2:6" ht="12.75" customHeight="1" x14ac:dyDescent="0.25"/>
    <row r="56" spans="2:6" ht="12.75" x14ac:dyDescent="0.2">
      <c r="B56" s="933"/>
      <c r="C56" s="933"/>
      <c r="D56" s="933"/>
      <c r="E56" s="933"/>
      <c r="F56" s="933"/>
    </row>
    <row r="57" spans="2:6" x14ac:dyDescent="0.25">
      <c r="B57" s="308"/>
      <c r="C57" s="298"/>
      <c r="D57" s="298"/>
      <c r="E57" s="297"/>
      <c r="F57" s="298"/>
    </row>
    <row r="58" spans="2:6" x14ac:dyDescent="0.25">
      <c r="B58" s="308"/>
      <c r="C58" s="298"/>
      <c r="D58" s="298"/>
      <c r="E58" s="297"/>
      <c r="F58" s="298"/>
    </row>
    <row r="59" spans="2:6" x14ac:dyDescent="0.25">
      <c r="B59" s="308"/>
      <c r="C59" s="298"/>
      <c r="D59" s="298"/>
      <c r="E59" s="297"/>
      <c r="F59" s="298"/>
    </row>
    <row r="60" spans="2:6" x14ac:dyDescent="0.25">
      <c r="B60" s="51"/>
    </row>
  </sheetData>
  <mergeCells count="4">
    <mergeCell ref="B56:F56"/>
    <mergeCell ref="B47:F47"/>
    <mergeCell ref="B48:F51"/>
    <mergeCell ref="B15:F15"/>
  </mergeCells>
  <phoneticPr fontId="24" type="noConversion"/>
  <hyperlinks>
    <hyperlink ref="D22:E22" location="BS!A1" display="Balance Sheet" xr:uid="{00000000-0004-0000-0000-000000000000}"/>
    <hyperlink ref="D23:E23" location="'Selected BS Analysis'!A1" display="Analysis of Selected Balance Sheet Items" xr:uid="{00000000-0004-0000-0000-000001000000}"/>
    <hyperlink ref="D34:E34" location="'Asset Quality'!A1" display="Asset Quality" xr:uid="{00000000-0004-0000-0000-000003000000}"/>
    <hyperlink ref="E28" location="PL!A1" display="PL!A1" xr:uid="{00000000-0004-0000-0000-000005000000}"/>
    <hyperlink ref="E34" location="'Loan Portfolio Quality'!A1" display="'Loan Portfolio Quality'!A1" xr:uid="{00000000-0004-0000-0000-000006000000}"/>
    <hyperlink ref="D37" location="'Capital Adequacy'!A1" display="Capital Adequacy" xr:uid="{00000000-0004-0000-0000-000007000000}"/>
    <hyperlink ref="D23" location="' Analysis of selected BS items'!A1" display="Analysis of Selected Balance Sheet Items" xr:uid="{00000000-0004-0000-0000-000008000000}"/>
    <hyperlink ref="E23" location="' Analysis of selected BS items'!A1" display="' Analysis of selected BS items'!A1" xr:uid="{00000000-0004-0000-0000-000009000000}"/>
    <hyperlink ref="D34" location="'Loan Portfolio Quality'!A1" display="Loan Portfolio Quality" xr:uid="{00000000-0004-0000-0000-00000C000000}"/>
    <hyperlink ref="D38" location="'Other Information'!A1" display="Other Information" xr:uid="{00000000-0004-0000-0000-00000D000000}"/>
    <hyperlink ref="D36" location="'NPE flow decomposition'!A1" display="NPE flow decomposition" xr:uid="{00000000-0004-0000-0000-00000E000000}"/>
    <hyperlink ref="E37" location="'Capital Adequacy'!A1" display="7" xr:uid="{00000000-0004-0000-0000-00000F000000}"/>
    <hyperlink ref="E38" location="'Other Information'!Print_Titles" display="8" xr:uid="{00000000-0004-0000-0000-000010000000}"/>
    <hyperlink ref="E36" location="'NPE flow decomposition'!A1" display="'NPE flow decomposition'!A1" xr:uid="{00000000-0004-0000-0000-000011000000}"/>
    <hyperlink ref="D20" location="'Financial Highlights'!Print_Area" display="Financila Highlights" xr:uid="{1AFAA5DE-8391-43CF-8E04-8351F280D267}"/>
    <hyperlink ref="E20" location="'Financial Highlights'!Print_Area" display="'Financial Highlights'!Print_Area" xr:uid="{CC69901D-CFBF-4678-BD27-008486F3DD74}"/>
    <hyperlink ref="D30" location="NFI!A1" display="Net Fee Income" xr:uid="{770F8F97-7C66-4B42-960D-15AF8A7B616D}"/>
    <hyperlink ref="D31" location="OPEX!Print_Area" display="Operating costs analysis" xr:uid="{7F774F03-A0C9-4D94-863E-13BF7CF0E945}"/>
    <hyperlink ref="D32" location="'PL Segment view'!A1" display="P&amp;L Segment view" xr:uid="{D646D995-DD71-40C2-A90B-BED25E951EBF}"/>
    <hyperlink ref="D33" location="'Performing Loans'!A1" display="Performing Loans" xr:uid="{80E650C9-F9A2-4DBA-AB2E-819BA478DBD9}"/>
    <hyperlink ref="D35" location="'IFRS9 Stages'!A1" display="IFRS9 Stages" xr:uid="{0B3C8A63-9312-4653-9915-4A5E638B3B73}"/>
    <hyperlink ref="E30" location="NFI!A1" display="NFI!A1" xr:uid="{F27659A3-1B57-4F39-8D19-436D2F035CB1}"/>
    <hyperlink ref="E31" location="OPEX!Print_Area" display="OPEX!Print_Area" xr:uid="{C9311BD2-7799-4F92-A442-8A78450B8566}"/>
    <hyperlink ref="E32" location="'PL Segment view'!A1" display="'PL Segment view'!A1" xr:uid="{A27963EB-44EB-40A2-B77B-5FCE8C3ED4BB}"/>
    <hyperlink ref="E33" location="'Performing Loans'!A1" display="'Performing Loans'!A1" xr:uid="{94464FE2-72AE-4ABB-8C0E-791B379E5851}"/>
    <hyperlink ref="E35" location="'IFRS9 Stages'!A1" display="'IFRS9 Stages'!A1" xr:uid="{359191A3-D8E8-45C7-B75A-B9CF8B76FD3C}"/>
    <hyperlink ref="D28" location="PL!A1" display="Consolidated P&amp;L" xr:uid="{00000000-0004-0000-0000-000004000000}"/>
    <hyperlink ref="D29" location="NII!A1" display="Net Interest Income" xr:uid="{053C4210-58B0-43FC-9C69-7302CBA23D42}"/>
    <hyperlink ref="E29" location="NII!A1" display="NII!A1" xr:uid="{EE2AEE4D-1B52-484A-8401-84A564DBF856}"/>
    <hyperlink ref="D22" location="'Balance Sheet'!A1" display="Consolidated Balance Sheet" xr:uid="{ACF746F8-36F0-4DAB-BA74-C250A9146D45}"/>
    <hyperlink ref="D21" location="'EPS calculations'!Print_Area" display="EPS calculations" xr:uid="{779E2F1E-060B-48D1-BB28-284FE4AB7F1E}"/>
    <hyperlink ref="E21" location="'EPS calculations'!Print_Area" display="'EPS calculations'!Print_Area" xr:uid="{E565207B-0843-4FEC-9ED9-F45267C3298A}"/>
    <hyperlink ref="E22" location="'Balance Sheet'!Print_Area" display="'Balance Sheet'!Print_Area" xr:uid="{F4D6C0F9-80BF-4CA4-A4B5-F22FBBA51A83}"/>
  </hyperlinks>
  <printOptions horizontalCentered="1" verticalCentered="1"/>
  <pageMargins left="0" right="0" top="0" bottom="0" header="0" footer="0"/>
  <pageSetup paperSize="9" scale="89" orientation="portrait" r:id="rId1"/>
  <headerFooter alignWithMargins="0"/>
  <rowBreaks count="1" manualBreakCount="1">
    <brk id="59" min="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1984-0643-4544-BD6E-B0FFA0B017B2}">
  <sheetPr codeName="Sheet9">
    <pageSetUpPr fitToPage="1"/>
  </sheetPr>
  <dimension ref="A1:M31"/>
  <sheetViews>
    <sheetView showGridLines="0" view="pageBreakPreview" zoomScale="80" zoomScaleNormal="90" zoomScaleSheetLayoutView="80" workbookViewId="0">
      <pane xSplit="2" ySplit="9" topLeftCell="C10" activePane="bottomRight" state="frozen"/>
      <selection activeCell="M28" sqref="M28"/>
      <selection pane="topRight" activeCell="M28" sqref="M28"/>
      <selection pane="bottomLeft" activeCell="M28" sqref="M28"/>
      <selection pane="bottomRight" activeCell="V9" sqref="V9"/>
    </sheetView>
  </sheetViews>
  <sheetFormatPr defaultColWidth="9.140625" defaultRowHeight="15.75" x14ac:dyDescent="0.2"/>
  <cols>
    <col min="1" max="1" width="2.42578125" style="31" customWidth="1"/>
    <col min="2" max="2" width="80.7109375" style="31" customWidth="1"/>
    <col min="3" max="7" width="19.28515625" style="31" customWidth="1"/>
    <col min="8" max="8" width="2.85546875" style="31" customWidth="1"/>
    <col min="9" max="9" width="19.28515625" style="31" customWidth="1"/>
    <col min="10" max="10" width="2.28515625" style="31" customWidth="1"/>
    <col min="11" max="11" width="19.28515625" style="31" customWidth="1"/>
    <col min="12" max="12" width="3" style="31" customWidth="1"/>
    <col min="13" max="16384" width="9.140625" style="31"/>
  </cols>
  <sheetData>
    <row r="1" spans="1:13" ht="15.75" customHeight="1" x14ac:dyDescent="0.2"/>
    <row r="2" spans="1:13" ht="15.75" customHeight="1" x14ac:dyDescent="0.2">
      <c r="C2" s="32"/>
      <c r="D2" s="32"/>
      <c r="E2" s="32"/>
      <c r="F2" s="32"/>
      <c r="K2" s="32" t="s">
        <v>21</v>
      </c>
    </row>
    <row r="3" spans="1:13" ht="15.75" customHeight="1" x14ac:dyDescent="0.2"/>
    <row r="4" spans="1:13" ht="15.75" customHeight="1" x14ac:dyDescent="0.2"/>
    <row r="5" spans="1:13" s="75" customFormat="1" ht="26.25" x14ac:dyDescent="0.2">
      <c r="A5" s="74"/>
      <c r="B5" s="938" t="s">
        <v>273</v>
      </c>
      <c r="C5" s="945"/>
      <c r="D5" s="945"/>
      <c r="E5" s="945"/>
      <c r="F5" s="945"/>
      <c r="G5" s="945"/>
      <c r="H5" s="945"/>
      <c r="I5" s="945"/>
      <c r="J5" s="945"/>
      <c r="K5" s="945"/>
      <c r="L5" s="256"/>
      <c r="M5" s="256"/>
    </row>
    <row r="6" spans="1:13" s="77" customFormat="1" ht="9" customHeight="1" x14ac:dyDescent="0.2">
      <c r="A6" s="74"/>
      <c r="B6" s="76"/>
    </row>
    <row r="7" spans="1:13" s="77" customFormat="1" ht="15.75" customHeight="1" x14ac:dyDescent="0.2">
      <c r="A7" s="78"/>
      <c r="B7" s="83"/>
    </row>
    <row r="8" spans="1:13" ht="15" customHeight="1" x14ac:dyDescent="0.2"/>
    <row r="9" spans="1:13" s="30" customFormat="1" ht="33.75" customHeight="1" x14ac:dyDescent="0.2">
      <c r="B9" s="269" t="s">
        <v>0</v>
      </c>
      <c r="C9" s="270" t="s">
        <v>130</v>
      </c>
      <c r="D9" s="270" t="s">
        <v>166</v>
      </c>
      <c r="E9" s="270" t="s">
        <v>167</v>
      </c>
      <c r="F9" s="280" t="s">
        <v>46</v>
      </c>
      <c r="G9" s="271" t="s">
        <v>131</v>
      </c>
      <c r="I9" s="278" t="s">
        <v>165</v>
      </c>
      <c r="K9" s="278" t="s">
        <v>132</v>
      </c>
    </row>
    <row r="10" spans="1:13" s="33" customFormat="1" ht="24.75" customHeight="1" x14ac:dyDescent="0.2">
      <c r="B10" s="272" t="s">
        <v>1</v>
      </c>
      <c r="C10" s="277">
        <v>692.38428011000008</v>
      </c>
      <c r="D10" s="277">
        <v>454.81881385999998</v>
      </c>
      <c r="E10" s="277">
        <v>285.04754095999994</v>
      </c>
      <c r="F10" s="277">
        <v>47.77386353999988</v>
      </c>
      <c r="G10" s="296">
        <v>1480.0244984699998</v>
      </c>
      <c r="H10" s="189"/>
      <c r="I10" s="279">
        <v>-14.00768637</v>
      </c>
      <c r="J10" s="189"/>
      <c r="K10" s="282">
        <v>1466.0168120999997</v>
      </c>
    </row>
    <row r="11" spans="1:13" s="33" customFormat="1" ht="24.75" customHeight="1" x14ac:dyDescent="0.2">
      <c r="B11" s="272" t="s">
        <v>164</v>
      </c>
      <c r="C11" s="277">
        <v>182.69160428999999</v>
      </c>
      <c r="D11" s="389">
        <v>139.28901941999999</v>
      </c>
      <c r="E11" s="389">
        <v>7.0942349199999999</v>
      </c>
      <c r="F11" s="389">
        <v>11.915322529999983</v>
      </c>
      <c r="G11" s="400">
        <v>340.99018115999996</v>
      </c>
      <c r="H11" s="401"/>
      <c r="I11" s="402">
        <v>4.49246166</v>
      </c>
      <c r="J11" s="401"/>
      <c r="K11" s="403">
        <v>345.48264281999997</v>
      </c>
    </row>
    <row r="12" spans="1:13" s="33" customFormat="1" ht="24.75" customHeight="1" x14ac:dyDescent="0.2">
      <c r="B12" s="272" t="s">
        <v>133</v>
      </c>
      <c r="C12" s="389">
        <v>0</v>
      </c>
      <c r="D12" s="389">
        <v>0</v>
      </c>
      <c r="E12" s="389">
        <v>0</v>
      </c>
      <c r="F12" s="389">
        <v>53.58938938</v>
      </c>
      <c r="G12" s="400">
        <v>53.58938938</v>
      </c>
      <c r="H12" s="401"/>
      <c r="I12" s="402">
        <v>3.9584061400000001</v>
      </c>
      <c r="J12" s="401"/>
      <c r="K12" s="403">
        <v>57.547795520000001</v>
      </c>
      <c r="L12" s="251"/>
    </row>
    <row r="13" spans="1:13" s="33" customFormat="1" ht="24.75" customHeight="1" x14ac:dyDescent="0.2">
      <c r="B13" s="272" t="s">
        <v>426</v>
      </c>
      <c r="C13" s="388">
        <v>0.88485620999999992</v>
      </c>
      <c r="D13" s="388">
        <v>3.9378208099999998</v>
      </c>
      <c r="E13" s="388">
        <v>11.969351349999998</v>
      </c>
      <c r="F13" s="388">
        <v>-18.032300659999994</v>
      </c>
      <c r="G13" s="400">
        <v>-1.2402722899999967</v>
      </c>
      <c r="H13" s="401"/>
      <c r="I13" s="404">
        <v>24.145836859999999</v>
      </c>
      <c r="J13" s="401"/>
      <c r="K13" s="405">
        <v>22.905564570000003</v>
      </c>
      <c r="L13" s="251"/>
      <c r="M13" s="251"/>
    </row>
    <row r="14" spans="1:13" s="33" customFormat="1" ht="24.75" customHeight="1" x14ac:dyDescent="0.2">
      <c r="B14" s="281" t="s">
        <v>299</v>
      </c>
      <c r="C14" s="276">
        <v>875.96074061000013</v>
      </c>
      <c r="D14" s="276">
        <v>598.04565409000008</v>
      </c>
      <c r="E14" s="276">
        <v>304.11112722999991</v>
      </c>
      <c r="F14" s="276">
        <v>95.246274789999859</v>
      </c>
      <c r="G14" s="411">
        <v>1874.2137967199997</v>
      </c>
      <c r="H14" s="401"/>
      <c r="I14" s="409">
        <v>18.589018289999999</v>
      </c>
      <c r="J14" s="401"/>
      <c r="K14" s="412">
        <v>1891.9528150099998</v>
      </c>
      <c r="L14" s="251"/>
    </row>
    <row r="15" spans="1:13" s="33" customFormat="1" ht="24.75" customHeight="1" x14ac:dyDescent="0.2">
      <c r="B15" s="272" t="s">
        <v>358</v>
      </c>
      <c r="C15" s="252">
        <v>-314.87714102000007</v>
      </c>
      <c r="D15" s="252">
        <v>-140.46868952</v>
      </c>
      <c r="E15" s="252">
        <v>-34.041213480000003</v>
      </c>
      <c r="F15" s="252">
        <v>-70.416145689999823</v>
      </c>
      <c r="G15" s="400">
        <v>-559.80318970999974</v>
      </c>
      <c r="H15" s="401"/>
      <c r="I15" s="404">
        <v>-36.449701829999995</v>
      </c>
      <c r="J15" s="401"/>
      <c r="K15" s="282">
        <v>-596.25289153999984</v>
      </c>
      <c r="L15" s="251"/>
      <c r="M15" s="31"/>
    </row>
    <row r="16" spans="1:13" s="33" customFormat="1" ht="24.75" customHeight="1" x14ac:dyDescent="0.2">
      <c r="B16" s="272" t="s">
        <v>382</v>
      </c>
      <c r="C16" s="252">
        <v>561.08359958999995</v>
      </c>
      <c r="D16" s="252">
        <v>457.57696457000003</v>
      </c>
      <c r="E16" s="252">
        <v>270.06991374999996</v>
      </c>
      <c r="F16" s="252">
        <v>24.83012910000005</v>
      </c>
      <c r="G16" s="296">
        <v>1313.5606070099998</v>
      </c>
      <c r="H16" s="401"/>
      <c r="I16" s="404">
        <v>-17.86068354</v>
      </c>
      <c r="J16" s="401"/>
      <c r="K16" s="282">
        <v>1295.6999234699997</v>
      </c>
      <c r="L16" s="251"/>
    </row>
    <row r="17" spans="2:12" s="33" customFormat="1" ht="24.75" customHeight="1" x14ac:dyDescent="0.2">
      <c r="B17" s="272" t="s">
        <v>383</v>
      </c>
      <c r="C17" s="252">
        <v>-21.867011049999999</v>
      </c>
      <c r="D17" s="252">
        <v>-83.417365329999981</v>
      </c>
      <c r="E17" s="252">
        <v>-2.3774109999999994E-2</v>
      </c>
      <c r="F17" s="252">
        <v>-21.361656790000001</v>
      </c>
      <c r="G17" s="400">
        <v>-126.66980727999997</v>
      </c>
      <c r="H17" s="401"/>
      <c r="I17" s="404">
        <v>-125.86030239999994</v>
      </c>
      <c r="J17" s="401"/>
      <c r="K17" s="405">
        <v>-252.53010967999992</v>
      </c>
      <c r="L17" s="251"/>
    </row>
    <row r="18" spans="2:12" s="33" customFormat="1" ht="24.75" customHeight="1" x14ac:dyDescent="0.2">
      <c r="B18" s="272" t="s">
        <v>384</v>
      </c>
      <c r="C18" s="252">
        <v>0.95316501000000009</v>
      </c>
      <c r="D18" s="252">
        <v>-1.10431838</v>
      </c>
      <c r="E18" s="252">
        <v>9.5617893699999996</v>
      </c>
      <c r="F18" s="252">
        <v>-38.73768355</v>
      </c>
      <c r="G18" s="400">
        <v>-29.327047549999993</v>
      </c>
      <c r="H18" s="401"/>
      <c r="I18" s="404">
        <v>-31.00166055</v>
      </c>
      <c r="J18" s="401"/>
      <c r="K18" s="405">
        <v>-60.328708099999986</v>
      </c>
      <c r="L18" s="251"/>
    </row>
    <row r="19" spans="2:12" s="33" customFormat="1" ht="24.75" customHeight="1" x14ac:dyDescent="0.2">
      <c r="B19" s="272" t="s">
        <v>385</v>
      </c>
      <c r="C19" s="388">
        <v>0</v>
      </c>
      <c r="D19" s="388">
        <v>0</v>
      </c>
      <c r="E19" s="388">
        <v>0</v>
      </c>
      <c r="F19" s="388">
        <v>-3.8695461600000005</v>
      </c>
      <c r="G19" s="400">
        <v>-3.8695461600000005</v>
      </c>
      <c r="H19" s="401"/>
      <c r="I19" s="404">
        <v>-2.9029182999999996</v>
      </c>
      <c r="J19" s="401"/>
      <c r="K19" s="405">
        <v>-6.7724644600000001</v>
      </c>
      <c r="L19" s="251"/>
    </row>
    <row r="20" spans="2:12" s="33" customFormat="1" ht="24.75" customHeight="1" x14ac:dyDescent="0.2">
      <c r="B20" s="288" t="s">
        <v>423</v>
      </c>
      <c r="C20" s="289">
        <v>540.16975355</v>
      </c>
      <c r="D20" s="289">
        <v>373.05528086000004</v>
      </c>
      <c r="E20" s="289">
        <v>279.60792900999996</v>
      </c>
      <c r="F20" s="289">
        <v>-39.138757399999946</v>
      </c>
      <c r="G20" s="411">
        <v>1153.6942060199997</v>
      </c>
      <c r="H20" s="401"/>
      <c r="I20" s="409">
        <v>-177.62556478999994</v>
      </c>
      <c r="J20" s="401"/>
      <c r="K20" s="410">
        <v>976.0686412299998</v>
      </c>
      <c r="L20" s="251"/>
    </row>
    <row r="21" spans="2:12" s="33" customFormat="1" ht="14.25" customHeight="1" x14ac:dyDescent="0.2">
      <c r="B21" s="284"/>
      <c r="C21" s="285"/>
      <c r="D21" s="285"/>
      <c r="E21" s="285"/>
      <c r="F21" s="285"/>
      <c r="G21" s="406"/>
      <c r="H21" s="401"/>
      <c r="I21" s="407"/>
      <c r="J21" s="401"/>
      <c r="K21" s="408"/>
      <c r="L21" s="251"/>
    </row>
    <row r="22" spans="2:12" s="33" customFormat="1" ht="24.75" customHeight="1" x14ac:dyDescent="0.2">
      <c r="B22" s="372" t="s">
        <v>168</v>
      </c>
      <c r="C22" s="435">
        <v>11959.368163750005</v>
      </c>
      <c r="D22" s="435">
        <v>21212.755314500013</v>
      </c>
      <c r="E22" s="435">
        <v>30090.135823509998</v>
      </c>
      <c r="F22" s="435">
        <v>6727.2906104788008</v>
      </c>
      <c r="G22" s="434">
        <v>69989.549912238828</v>
      </c>
      <c r="H22" s="735"/>
      <c r="I22" s="736">
        <v>9269.3336334899905</v>
      </c>
      <c r="J22" s="735"/>
      <c r="K22" s="412">
        <v>79258.883545728822</v>
      </c>
    </row>
    <row r="23" spans="2:12" s="33" customFormat="1" ht="12" customHeight="1" x14ac:dyDescent="0.2">
      <c r="B23" s="286"/>
      <c r="C23" s="283"/>
      <c r="D23" s="283"/>
      <c r="E23" s="283"/>
      <c r="F23" s="283"/>
      <c r="G23" s="296"/>
      <c r="H23" s="189"/>
      <c r="I23" s="279"/>
      <c r="J23" s="189"/>
      <c r="K23" s="282"/>
    </row>
    <row r="24" spans="2:12" s="33" customFormat="1" ht="24.75" customHeight="1" x14ac:dyDescent="0.2">
      <c r="B24" s="286" t="s">
        <v>386</v>
      </c>
      <c r="C24" s="415">
        <v>7.7192960991443613E-2</v>
      </c>
      <c r="D24" s="415">
        <v>2.8587756571733222E-2</v>
      </c>
      <c r="E24" s="415">
        <v>1.263082992299808E-2</v>
      </c>
      <c r="F24" s="415">
        <v>9.4686685038965837E-3</v>
      </c>
      <c r="G24" s="417">
        <v>2.8195151996754361E-2</v>
      </c>
      <c r="H24" s="416"/>
      <c r="I24" s="418">
        <v>-2.0149145449377863E-3</v>
      </c>
      <c r="J24" s="416"/>
      <c r="K24" s="419">
        <v>2.466208196930041E-2</v>
      </c>
    </row>
    <row r="25" spans="2:12" s="33" customFormat="1" ht="24.75" customHeight="1" x14ac:dyDescent="0.2">
      <c r="B25" s="286" t="s">
        <v>387</v>
      </c>
      <c r="C25" s="415">
        <v>2.0368033025217929E-2</v>
      </c>
      <c r="D25" s="415">
        <v>8.7550480739789441E-3</v>
      </c>
      <c r="E25" s="415">
        <v>3.1435484202576615E-4</v>
      </c>
      <c r="F25" s="415">
        <v>1.298288136147336E-2</v>
      </c>
      <c r="G25" s="417">
        <v>7.5169235223405094E-3</v>
      </c>
      <c r="H25" s="416"/>
      <c r="I25" s="418">
        <v>1.2156023484388159E-3</v>
      </c>
      <c r="J25" s="416"/>
      <c r="K25" s="419">
        <v>6.7799834384069512E-3</v>
      </c>
    </row>
    <row r="26" spans="2:12" s="33" customFormat="1" ht="24.75" customHeight="1" x14ac:dyDescent="0.2">
      <c r="B26" s="286" t="s">
        <v>388</v>
      </c>
      <c r="C26" s="413">
        <v>0.35982838361029351</v>
      </c>
      <c r="D26" s="413">
        <v>0.23643635321973244</v>
      </c>
      <c r="E26" s="413">
        <v>0.1165229223977291</v>
      </c>
      <c r="F26" s="413">
        <v>0.62161927275542828</v>
      </c>
      <c r="G26" s="420">
        <v>0.29862475973693919</v>
      </c>
      <c r="H26" s="414"/>
      <c r="I26" s="421" t="s">
        <v>221</v>
      </c>
      <c r="J26" s="414"/>
      <c r="K26" s="422">
        <v>0.31901434883448437</v>
      </c>
    </row>
    <row r="27" spans="2:12" s="33" customFormat="1" ht="24.75" customHeight="1" x14ac:dyDescent="0.2">
      <c r="B27" s="286" t="s">
        <v>389</v>
      </c>
      <c r="C27" s="415">
        <v>6.2554430625156074E-2</v>
      </c>
      <c r="D27" s="415">
        <v>2.8761120862485511E-2</v>
      </c>
      <c r="E27" s="415">
        <v>1.1967151642166584E-2</v>
      </c>
      <c r="F27" s="415">
        <v>4.9212737663556581E-3</v>
      </c>
      <c r="G27" s="417">
        <v>2.5023937786085634E-2</v>
      </c>
      <c r="H27" s="416"/>
      <c r="I27" s="418">
        <v>-2.5691431187630813E-3</v>
      </c>
      <c r="J27" s="416"/>
      <c r="K27" s="419">
        <v>2.1796924466684568E-2</v>
      </c>
    </row>
    <row r="28" spans="2:12" s="33" customFormat="1" ht="24.75" customHeight="1" x14ac:dyDescent="0.2">
      <c r="B28" s="286" t="s">
        <v>390</v>
      </c>
      <c r="C28" s="415">
        <v>3.2773783483389675E-3</v>
      </c>
      <c r="D28" s="415">
        <v>5.7471788364333578E-3</v>
      </c>
      <c r="E28" s="415">
        <v>6.0797109215180039E-5</v>
      </c>
      <c r="F28" s="415">
        <v>0.17747248841824975</v>
      </c>
      <c r="G28" s="417">
        <v>5.837856370957766E-3</v>
      </c>
      <c r="H28" s="416"/>
      <c r="I28" s="418">
        <v>2.3491343951546902E-2</v>
      </c>
      <c r="J28" s="416"/>
      <c r="K28" s="419">
        <v>9.3337012339872408E-3</v>
      </c>
    </row>
    <row r="29" spans="2:12" s="33" customFormat="1" ht="24.75" customHeight="1" x14ac:dyDescent="0.2">
      <c r="B29" s="287" t="s">
        <v>134</v>
      </c>
      <c r="C29" s="737">
        <v>6.0222774999915289E-2</v>
      </c>
      <c r="D29" s="737">
        <v>2.3448488127643812E-2</v>
      </c>
      <c r="E29" s="737">
        <v>1.2389793592159503E-2</v>
      </c>
      <c r="F29" s="737">
        <v>-7.757210575291682E-3</v>
      </c>
      <c r="G29" s="738">
        <v>2.1978408823729405E-2</v>
      </c>
      <c r="H29" s="416"/>
      <c r="I29" s="739">
        <v>-2.5550281794905719E-2</v>
      </c>
      <c r="J29" s="416"/>
      <c r="K29" s="740">
        <v>1.6419924136610746E-2</v>
      </c>
    </row>
    <row r="30" spans="2:12" ht="11.25" customHeight="1" x14ac:dyDescent="0.2"/>
    <row r="31" spans="2:12" x14ac:dyDescent="0.2">
      <c r="B31" s="957" t="s">
        <v>422</v>
      </c>
      <c r="C31" s="957"/>
      <c r="D31" s="957"/>
      <c r="E31" s="957"/>
      <c r="F31" s="957"/>
      <c r="G31" s="957"/>
      <c r="H31" s="957"/>
      <c r="I31" s="957"/>
      <c r="J31" s="957"/>
      <c r="K31" s="957"/>
    </row>
  </sheetData>
  <mergeCells count="2">
    <mergeCell ref="B5:K5"/>
    <mergeCell ref="B31:K31"/>
  </mergeCells>
  <phoneticPr fontId="24" type="noConversion"/>
  <hyperlinks>
    <hyperlink ref="K2" location="'Cover '!A1" display="Back to Cover" xr:uid="{32C074CC-BB46-4B4F-A093-1AD8656DCB33}"/>
  </hyperlinks>
  <printOptions horizontalCentered="1" verticalCentered="1"/>
  <pageMargins left="0" right="0" top="0" bottom="0" header="0" footer="0"/>
  <pageSetup paperSize="8" scale="6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046A-8ACA-436A-8022-FF8CABA3D9E8}">
  <sheetPr codeName="Foglio7">
    <pageSetUpPr fitToPage="1"/>
  </sheetPr>
  <dimension ref="A1:O38"/>
  <sheetViews>
    <sheetView showGridLines="0" view="pageBreakPreview" zoomScale="80" zoomScaleNormal="90" zoomScaleSheetLayoutView="80" workbookViewId="0">
      <pane xSplit="2" topLeftCell="C1" activePane="topRight" state="frozen"/>
      <selection activeCell="M28" sqref="M28"/>
      <selection pane="topRight" activeCell="J29" sqref="J29"/>
    </sheetView>
  </sheetViews>
  <sheetFormatPr defaultColWidth="9.140625" defaultRowHeight="15" customHeight="1" x14ac:dyDescent="0.2"/>
  <cols>
    <col min="1" max="1" width="2.42578125" style="91" customWidth="1"/>
    <col min="2" max="2" width="37.140625" style="91" customWidth="1"/>
    <col min="3" max="10" width="14.5703125" style="92" customWidth="1"/>
    <col min="11" max="11" width="2.42578125" style="91" customWidth="1"/>
    <col min="12" max="12" width="9.140625" style="91"/>
    <col min="13" max="13" width="12.42578125" style="91" bestFit="1" customWidth="1"/>
    <col min="14" max="16384" width="9.140625" style="91"/>
  </cols>
  <sheetData>
    <row r="1" spans="1:15" s="94" customFormat="1" ht="15.75" customHeight="1" x14ac:dyDescent="0.25"/>
    <row r="2" spans="1:15" s="94" customFormat="1" ht="15.75" customHeight="1" x14ac:dyDescent="0.25">
      <c r="C2" s="7"/>
      <c r="J2" s="7" t="s">
        <v>21</v>
      </c>
    </row>
    <row r="3" spans="1:15" s="94" customFormat="1" ht="15.75" customHeight="1" x14ac:dyDescent="0.25"/>
    <row r="4" spans="1:15" s="95" customFormat="1" ht="15.75" customHeight="1" x14ac:dyDescent="0.2"/>
    <row r="5" spans="1:15" ht="26.25" x14ac:dyDescent="0.2">
      <c r="A5" s="74"/>
      <c r="B5" s="958" t="s">
        <v>140</v>
      </c>
      <c r="C5" s="958"/>
      <c r="D5" s="958"/>
      <c r="E5" s="958"/>
      <c r="F5" s="958"/>
      <c r="G5" s="958"/>
      <c r="H5" s="958"/>
      <c r="I5" s="958"/>
      <c r="J5" s="958"/>
    </row>
    <row r="6" spans="1:15" s="82" customFormat="1" ht="9" customHeight="1" x14ac:dyDescent="0.2">
      <c r="A6" s="74"/>
      <c r="B6" s="76"/>
      <c r="C6" s="76"/>
      <c r="D6" s="76"/>
      <c r="E6" s="76"/>
      <c r="F6" s="76"/>
      <c r="G6" s="76"/>
      <c r="H6" s="76"/>
      <c r="I6" s="76"/>
      <c r="J6" s="76"/>
    </row>
    <row r="7" spans="1:15" s="82" customFormat="1" ht="11.25" customHeight="1" x14ac:dyDescent="0.2">
      <c r="A7" s="78"/>
      <c r="B7" s="83"/>
      <c r="C7" s="83"/>
      <c r="D7" s="83"/>
      <c r="E7" s="83"/>
      <c r="F7" s="83"/>
      <c r="G7" s="83"/>
      <c r="H7" s="83"/>
      <c r="I7" s="83"/>
      <c r="J7" s="83"/>
    </row>
    <row r="8" spans="1:15" s="96" customFormat="1" ht="11.25" customHeight="1" x14ac:dyDescent="0.25">
      <c r="C8" s="97"/>
      <c r="D8" s="97"/>
      <c r="E8" s="97"/>
      <c r="F8" s="97"/>
      <c r="G8" s="97"/>
      <c r="H8" s="97"/>
      <c r="I8" s="97"/>
      <c r="J8" s="97"/>
    </row>
    <row r="9" spans="1:15" s="98" customFormat="1" ht="28.5" customHeight="1" x14ac:dyDescent="0.25">
      <c r="B9" s="168"/>
      <c r="C9" s="314">
        <v>44561</v>
      </c>
      <c r="D9" s="314">
        <v>44651</v>
      </c>
      <c r="E9" s="133">
        <v>44742</v>
      </c>
      <c r="F9" s="314">
        <v>44834</v>
      </c>
      <c r="G9" s="314">
        <v>44926</v>
      </c>
      <c r="H9" s="314">
        <v>45016</v>
      </c>
      <c r="I9" s="317">
        <v>45107</v>
      </c>
      <c r="J9" s="650">
        <v>45199</v>
      </c>
    </row>
    <row r="10" spans="1:15" s="99" customFormat="1" ht="20.25" customHeight="1" x14ac:dyDescent="0.25">
      <c r="B10" s="213" t="s">
        <v>150</v>
      </c>
      <c r="C10" s="315"/>
      <c r="D10" s="315"/>
      <c r="E10" s="315"/>
      <c r="F10" s="315"/>
      <c r="G10" s="315"/>
      <c r="H10" s="315"/>
      <c r="I10" s="237"/>
      <c r="J10" s="235"/>
    </row>
    <row r="11" spans="1:15" s="99" customFormat="1" ht="20.25" customHeight="1" x14ac:dyDescent="0.25">
      <c r="B11" s="214" t="s">
        <v>391</v>
      </c>
      <c r="C11" s="315">
        <v>17561.116762470014</v>
      </c>
      <c r="D11" s="315">
        <v>17905.000095090007</v>
      </c>
      <c r="E11" s="315">
        <v>19098.747220669567</v>
      </c>
      <c r="F11" s="315">
        <v>19984.738742453286</v>
      </c>
      <c r="G11" s="315">
        <v>20514.445660423495</v>
      </c>
      <c r="H11" s="315">
        <v>20383.713875636407</v>
      </c>
      <c r="I11" s="237">
        <v>21105.375983716935</v>
      </c>
      <c r="J11" s="235">
        <v>21515.487456171279</v>
      </c>
      <c r="L11" s="433"/>
      <c r="M11" s="433"/>
      <c r="O11" s="433"/>
    </row>
    <row r="12" spans="1:15" s="99" customFormat="1" ht="20.25" customHeight="1" x14ac:dyDescent="0.25">
      <c r="B12" s="221" t="s">
        <v>392</v>
      </c>
      <c r="C12" s="302">
        <v>7692.0546794400134</v>
      </c>
      <c r="D12" s="302">
        <v>7922.1791230200042</v>
      </c>
      <c r="E12" s="302">
        <v>8464.0991213295674</v>
      </c>
      <c r="F12" s="302">
        <v>9077.2356765832919</v>
      </c>
      <c r="G12" s="302">
        <v>9342.9806932934898</v>
      </c>
      <c r="H12" s="302">
        <v>9281.8161640464004</v>
      </c>
      <c r="I12" s="238">
        <v>9745.6582291369305</v>
      </c>
      <c r="J12" s="236">
        <v>10065.280643251277</v>
      </c>
      <c r="L12" s="433"/>
      <c r="M12" s="433"/>
      <c r="N12" s="433"/>
    </row>
    <row r="13" spans="1:15" s="99" customFormat="1" ht="20.25" customHeight="1" x14ac:dyDescent="0.25">
      <c r="B13" s="221" t="s">
        <v>141</v>
      </c>
      <c r="C13" s="302">
        <v>5889.3363543900014</v>
      </c>
      <c r="D13" s="302">
        <v>6069.6412972400021</v>
      </c>
      <c r="E13" s="302">
        <v>6349.4944474100021</v>
      </c>
      <c r="F13" s="302">
        <v>6377.9192389699929</v>
      </c>
      <c r="G13" s="302">
        <v>6772.1234731200057</v>
      </c>
      <c r="H13" s="302">
        <v>6694.1187481200059</v>
      </c>
      <c r="I13" s="238">
        <v>6832.391938460004</v>
      </c>
      <c r="J13" s="236">
        <v>6796.5263917200018</v>
      </c>
      <c r="M13" s="433"/>
    </row>
    <row r="14" spans="1:15" s="99" customFormat="1" ht="20.25" customHeight="1" x14ac:dyDescent="0.25">
      <c r="B14" s="221" t="s">
        <v>143</v>
      </c>
      <c r="C14" s="302">
        <v>2061.0925587400002</v>
      </c>
      <c r="D14" s="302">
        <v>2043.2340201699999</v>
      </c>
      <c r="E14" s="302">
        <v>2247.9220863999999</v>
      </c>
      <c r="F14" s="302">
        <v>2510.7680648400001</v>
      </c>
      <c r="G14" s="302">
        <v>2344.9555170499998</v>
      </c>
      <c r="H14" s="302">
        <v>2407.4997594500005</v>
      </c>
      <c r="I14" s="238">
        <v>2344.1885000699999</v>
      </c>
      <c r="J14" s="236">
        <v>2455.9835172100002</v>
      </c>
      <c r="M14" s="433"/>
    </row>
    <row r="15" spans="1:15" s="99" customFormat="1" ht="20.25" customHeight="1" x14ac:dyDescent="0.25">
      <c r="B15" s="221" t="s">
        <v>142</v>
      </c>
      <c r="C15" s="302">
        <v>1918.6331698999995</v>
      </c>
      <c r="D15" s="302">
        <v>1869.9456546600006</v>
      </c>
      <c r="E15" s="302">
        <v>2037.2315655299994</v>
      </c>
      <c r="F15" s="302">
        <v>2018.8157620600007</v>
      </c>
      <c r="G15" s="302">
        <v>2054.3859769600008</v>
      </c>
      <c r="H15" s="302">
        <v>2000.2792040200002</v>
      </c>
      <c r="I15" s="238">
        <v>2183.1373160499993</v>
      </c>
      <c r="J15" s="236">
        <v>2197.6969039899996</v>
      </c>
      <c r="M15" s="433"/>
    </row>
    <row r="16" spans="1:15" s="99" customFormat="1" ht="20.25" customHeight="1" x14ac:dyDescent="0.25">
      <c r="B16" s="214" t="s">
        <v>393</v>
      </c>
      <c r="C16" s="315">
        <f t="shared" ref="C16:G16" si="0">+C17+C18</f>
        <v>8394.9821728500447</v>
      </c>
      <c r="D16" s="315">
        <f t="shared" si="0"/>
        <v>8348.7451683199743</v>
      </c>
      <c r="E16" s="315">
        <f t="shared" si="0"/>
        <v>8357.1500721099819</v>
      </c>
      <c r="F16" s="315">
        <f t="shared" si="0"/>
        <v>8298.8869475100037</v>
      </c>
      <c r="G16" s="315">
        <f t="shared" si="0"/>
        <v>8119.1589698599137</v>
      </c>
      <c r="H16" s="315">
        <f t="shared" ref="H16" si="1">+H17+H18</f>
        <v>7964.6417155700037</v>
      </c>
      <c r="I16" s="237">
        <f t="shared" ref="I16:J16" si="2">+I17+I18</f>
        <v>7882.2077686799548</v>
      </c>
      <c r="J16" s="235">
        <f t="shared" si="2"/>
        <v>7836.4035779199885</v>
      </c>
      <c r="L16" s="433"/>
      <c r="M16" s="433"/>
      <c r="N16" s="729"/>
    </row>
    <row r="17" spans="2:15" s="99" customFormat="1" ht="20.25" customHeight="1" x14ac:dyDescent="0.25">
      <c r="B17" s="221" t="s">
        <v>144</v>
      </c>
      <c r="C17" s="302">
        <v>6701.6204208400577</v>
      </c>
      <c r="D17" s="302">
        <v>6668.1140921099886</v>
      </c>
      <c r="E17" s="302">
        <v>6632.0461390599839</v>
      </c>
      <c r="F17" s="302">
        <v>6575.1606455600113</v>
      </c>
      <c r="G17" s="302">
        <v>6490.8475559799444</v>
      </c>
      <c r="H17" s="302">
        <v>6359.2653837400221</v>
      </c>
      <c r="I17" s="238">
        <v>6261.5478573899682</v>
      </c>
      <c r="J17" s="236">
        <v>6196.5699702999837</v>
      </c>
      <c r="M17" s="433"/>
    </row>
    <row r="18" spans="2:15" s="99" customFormat="1" ht="20.25" customHeight="1" x14ac:dyDescent="0.25">
      <c r="B18" s="215" t="s">
        <v>158</v>
      </c>
      <c r="C18" s="302">
        <v>1693.3617520099865</v>
      </c>
      <c r="D18" s="302">
        <v>1680.6310762099856</v>
      </c>
      <c r="E18" s="302">
        <v>1725.1039330499984</v>
      </c>
      <c r="F18" s="302">
        <v>1723.7263019499921</v>
      </c>
      <c r="G18" s="302">
        <v>1628.311413879969</v>
      </c>
      <c r="H18" s="302">
        <v>1605.3763318299812</v>
      </c>
      <c r="I18" s="238">
        <v>1620.6599112899867</v>
      </c>
      <c r="J18" s="236">
        <v>1639.8336076200046</v>
      </c>
      <c r="M18" s="433"/>
    </row>
    <row r="19" spans="2:15" s="99" customFormat="1" ht="20.25" customHeight="1" x14ac:dyDescent="0.25">
      <c r="B19" s="214" t="s">
        <v>169</v>
      </c>
      <c r="C19" s="315">
        <v>6236</v>
      </c>
      <c r="D19" s="315">
        <v>6182</v>
      </c>
      <c r="E19" s="315">
        <v>6131.1678308704404</v>
      </c>
      <c r="F19" s="315">
        <v>6108.7819081267126</v>
      </c>
      <c r="G19" s="315">
        <v>6074.4239423764802</v>
      </c>
      <c r="H19" s="315">
        <v>6034.0444514236096</v>
      </c>
      <c r="I19" s="237">
        <v>5951.678018693071</v>
      </c>
      <c r="J19" s="235">
        <v>5900.8357836587293</v>
      </c>
      <c r="L19" s="433"/>
      <c r="M19" s="433"/>
      <c r="N19" s="433"/>
    </row>
    <row r="20" spans="2:15" s="99" customFormat="1" ht="20.25" customHeight="1" x14ac:dyDescent="0.25">
      <c r="B20" s="214" t="s">
        <v>115</v>
      </c>
      <c r="C20" s="315">
        <f t="shared" ref="C20:G20" si="3">+C11+C16+C19</f>
        <v>32192.098935320057</v>
      </c>
      <c r="D20" s="315">
        <f t="shared" si="3"/>
        <v>32435.745263409983</v>
      </c>
      <c r="E20" s="315">
        <f t="shared" si="3"/>
        <v>33587.065123649991</v>
      </c>
      <c r="F20" s="315">
        <f t="shared" si="3"/>
        <v>34392.407598090002</v>
      </c>
      <c r="G20" s="315">
        <f t="shared" si="3"/>
        <v>34708.028572659889</v>
      </c>
      <c r="H20" s="315">
        <f t="shared" ref="H20" si="4">+H11+H16+H19</f>
        <v>34382.400042630019</v>
      </c>
      <c r="I20" s="237">
        <f t="shared" ref="I20" si="5">+I11+I16+I19</f>
        <v>34939.261771089958</v>
      </c>
      <c r="J20" s="235">
        <f>+J11+J16+J19</f>
        <v>35252.726817749994</v>
      </c>
      <c r="L20" s="433"/>
      <c r="M20" s="433"/>
      <c r="N20" s="525"/>
    </row>
    <row r="21" spans="2:15" s="99" customFormat="1" ht="20.25" customHeight="1" x14ac:dyDescent="0.25">
      <c r="B21" s="214"/>
      <c r="C21" s="315"/>
      <c r="D21" s="315"/>
      <c r="E21" s="315"/>
      <c r="F21" s="315"/>
      <c r="G21" s="315"/>
      <c r="H21" s="315"/>
      <c r="I21" s="237"/>
      <c r="J21" s="235"/>
      <c r="O21" s="433"/>
    </row>
    <row r="22" spans="2:15" s="99" customFormat="1" ht="20.25" customHeight="1" x14ac:dyDescent="0.25">
      <c r="B22" s="213" t="s">
        <v>145</v>
      </c>
      <c r="C22" s="302"/>
      <c r="D22" s="302"/>
      <c r="E22" s="302"/>
      <c r="F22" s="302"/>
      <c r="G22" s="302"/>
      <c r="H22" s="302"/>
      <c r="I22" s="238"/>
      <c r="J22" s="236"/>
      <c r="N22" s="433"/>
    </row>
    <row r="23" spans="2:15" s="99" customFormat="1" ht="20.25" customHeight="1" x14ac:dyDescent="0.25">
      <c r="B23" s="215" t="s">
        <v>146</v>
      </c>
      <c r="C23" s="302">
        <v>2879</v>
      </c>
      <c r="D23" s="302">
        <v>3044</v>
      </c>
      <c r="E23" s="302">
        <v>3276</v>
      </c>
      <c r="F23" s="302">
        <v>3393</v>
      </c>
      <c r="G23" s="302">
        <v>3487</v>
      </c>
      <c r="H23" s="302">
        <v>3326</v>
      </c>
      <c r="I23" s="238">
        <v>3347</v>
      </c>
      <c r="J23" s="236">
        <v>3226</v>
      </c>
      <c r="M23" s="433"/>
    </row>
    <row r="24" spans="2:15" s="99" customFormat="1" ht="20.25" customHeight="1" x14ac:dyDescent="0.25">
      <c r="B24" s="215" t="s">
        <v>147</v>
      </c>
      <c r="C24" s="302">
        <v>1711</v>
      </c>
      <c r="D24" s="302">
        <v>1774</v>
      </c>
      <c r="E24" s="302">
        <v>1789</v>
      </c>
      <c r="F24" s="302">
        <v>1927</v>
      </c>
      <c r="G24" s="302">
        <v>2083</v>
      </c>
      <c r="H24" s="302">
        <v>2116</v>
      </c>
      <c r="I24" s="238">
        <v>2265</v>
      </c>
      <c r="J24" s="236">
        <v>2246</v>
      </c>
      <c r="M24" s="433"/>
    </row>
    <row r="25" spans="2:15" s="99" customFormat="1" ht="20.25" customHeight="1" x14ac:dyDescent="0.25">
      <c r="B25" s="215" t="s">
        <v>148</v>
      </c>
      <c r="C25" s="302">
        <v>1590</v>
      </c>
      <c r="D25" s="302">
        <v>1572</v>
      </c>
      <c r="E25" s="302">
        <v>1751</v>
      </c>
      <c r="F25" s="302">
        <v>1863</v>
      </c>
      <c r="G25" s="302">
        <v>1978</v>
      </c>
      <c r="H25" s="302">
        <v>1992</v>
      </c>
      <c r="I25" s="238">
        <v>2109</v>
      </c>
      <c r="J25" s="236">
        <v>2337</v>
      </c>
      <c r="M25" s="433"/>
    </row>
    <row r="26" spans="2:15" s="99" customFormat="1" ht="20.25" customHeight="1" x14ac:dyDescent="0.25">
      <c r="B26" s="215" t="s">
        <v>394</v>
      </c>
      <c r="C26" s="302">
        <v>1923</v>
      </c>
      <c r="D26" s="302">
        <v>1955</v>
      </c>
      <c r="E26" s="302">
        <v>2089</v>
      </c>
      <c r="F26" s="302">
        <v>2065</v>
      </c>
      <c r="G26" s="302">
        <v>2188</v>
      </c>
      <c r="H26" s="302">
        <v>2210</v>
      </c>
      <c r="I26" s="238">
        <v>2413</v>
      </c>
      <c r="J26" s="236">
        <v>2388</v>
      </c>
      <c r="M26" s="433"/>
    </row>
    <row r="27" spans="2:15" s="99" customFormat="1" ht="20.25" customHeight="1" x14ac:dyDescent="0.25">
      <c r="B27" s="215" t="s">
        <v>395</v>
      </c>
      <c r="C27" s="302">
        <v>1283</v>
      </c>
      <c r="D27" s="302">
        <v>1282</v>
      </c>
      <c r="E27" s="302">
        <v>1371</v>
      </c>
      <c r="F27" s="302">
        <v>1713</v>
      </c>
      <c r="G27" s="302">
        <v>1862</v>
      </c>
      <c r="H27" s="302">
        <v>1921</v>
      </c>
      <c r="I27" s="238">
        <v>1954</v>
      </c>
      <c r="J27" s="236">
        <v>1997</v>
      </c>
      <c r="M27" s="433"/>
    </row>
    <row r="28" spans="2:15" s="99" customFormat="1" ht="20.25" customHeight="1" x14ac:dyDescent="0.25">
      <c r="B28" s="215" t="s">
        <v>396</v>
      </c>
      <c r="C28" s="302">
        <v>2827</v>
      </c>
      <c r="D28" s="302">
        <v>2796</v>
      </c>
      <c r="E28" s="302">
        <v>2974</v>
      </c>
      <c r="F28" s="302">
        <v>3228</v>
      </c>
      <c r="G28" s="302">
        <v>3112</v>
      </c>
      <c r="H28" s="302">
        <v>3247</v>
      </c>
      <c r="I28" s="238">
        <v>3179</v>
      </c>
      <c r="J28" s="236">
        <v>3324</v>
      </c>
      <c r="M28" s="433"/>
    </row>
    <row r="29" spans="2:15" s="99" customFormat="1" ht="20.25" customHeight="1" x14ac:dyDescent="0.25">
      <c r="B29" s="215" t="s">
        <v>46</v>
      </c>
      <c r="C29" s="302">
        <v>3429</v>
      </c>
      <c r="D29" s="302">
        <v>3612</v>
      </c>
      <c r="E29" s="302">
        <v>3812</v>
      </c>
      <c r="F29" s="302">
        <v>3777</v>
      </c>
      <c r="G29" s="302">
        <v>3750</v>
      </c>
      <c r="H29" s="302">
        <v>3571.4346716164073</v>
      </c>
      <c r="I29" s="238">
        <v>3655.2386676669339</v>
      </c>
      <c r="J29" s="236">
        <v>3799.7905521812791</v>
      </c>
      <c r="M29" s="433"/>
    </row>
    <row r="30" spans="2:15" s="99" customFormat="1" ht="20.25" customHeight="1" x14ac:dyDescent="0.25">
      <c r="B30" s="214" t="s">
        <v>149</v>
      </c>
      <c r="C30" s="315">
        <f t="shared" ref="C30:G30" si="6">SUM(C23:C29)</f>
        <v>15642</v>
      </c>
      <c r="D30" s="315">
        <f t="shared" si="6"/>
        <v>16035</v>
      </c>
      <c r="E30" s="315">
        <f t="shared" si="6"/>
        <v>17062</v>
      </c>
      <c r="F30" s="315">
        <f t="shared" si="6"/>
        <v>17966</v>
      </c>
      <c r="G30" s="315">
        <f t="shared" si="6"/>
        <v>18460</v>
      </c>
      <c r="H30" s="315">
        <f>SUM(H23:H29)</f>
        <v>18383.434671616407</v>
      </c>
      <c r="I30" s="237">
        <f>SUM(I23:I29)</f>
        <v>18922.238667666934</v>
      </c>
      <c r="J30" s="235">
        <f>SUM(J23:J29)</f>
        <v>19317.790552181279</v>
      </c>
      <c r="L30" s="433"/>
      <c r="M30" s="433"/>
    </row>
    <row r="31" spans="2:15" s="99" customFormat="1" ht="20.25" customHeight="1" x14ac:dyDescent="0.25">
      <c r="B31" s="216"/>
      <c r="C31" s="316"/>
      <c r="D31" s="316"/>
      <c r="E31" s="316"/>
      <c r="F31" s="316"/>
      <c r="G31" s="764"/>
      <c r="H31" s="764"/>
      <c r="I31" s="765"/>
      <c r="J31" s="766"/>
      <c r="M31" s="433"/>
    </row>
    <row r="32" spans="2:15" s="107" customFormat="1" ht="11.25" customHeight="1" x14ac:dyDescent="0.25">
      <c r="B32" s="217"/>
    </row>
    <row r="33" spans="1:11" s="72" customFormat="1" ht="9.75" customHeight="1" x14ac:dyDescent="0.2">
      <c r="B33" s="218" t="s">
        <v>424</v>
      </c>
    </row>
    <row r="34" spans="1:11" s="92" customFormat="1" ht="11.25" customHeight="1" x14ac:dyDescent="0.2">
      <c r="A34" s="91"/>
      <c r="B34" s="254"/>
    </row>
    <row r="35" spans="1:11" s="92" customFormat="1" ht="21" customHeight="1" x14ac:dyDescent="0.2">
      <c r="A35" s="91"/>
      <c r="B35" s="254"/>
      <c r="C35" s="373"/>
    </row>
    <row r="36" spans="1:11" ht="15" customHeight="1" x14ac:dyDescent="0.2">
      <c r="C36" s="373"/>
    </row>
    <row r="37" spans="1:11" ht="15" customHeight="1" x14ac:dyDescent="0.2">
      <c r="C37" s="373"/>
      <c r="D37" s="373"/>
      <c r="E37" s="373"/>
      <c r="F37" s="373"/>
      <c r="G37" s="373"/>
      <c r="H37" s="373"/>
      <c r="I37" s="373"/>
      <c r="J37" s="373"/>
      <c r="K37" s="373"/>
    </row>
    <row r="38" spans="1:11" ht="15" customHeight="1" x14ac:dyDescent="0.2">
      <c r="K38" s="92"/>
    </row>
  </sheetData>
  <mergeCells count="1">
    <mergeCell ref="B5:J5"/>
  </mergeCells>
  <hyperlinks>
    <hyperlink ref="J2" location="'Cover '!A1" display="Back to Cover" xr:uid="{74B85B39-0808-422C-BD95-110F6A0F32CD}"/>
  </hyperlinks>
  <printOptions horizontalCentered="1" verticalCentered="1"/>
  <pageMargins left="0" right="0" top="0" bottom="0" header="0" footer="0"/>
  <pageSetup paperSize="8" scale="9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pageSetUpPr fitToPage="1"/>
  </sheetPr>
  <dimension ref="A1:S80"/>
  <sheetViews>
    <sheetView showGridLines="0" view="pageBreakPreview" zoomScale="80" zoomScaleNormal="90" zoomScaleSheetLayoutView="80" workbookViewId="0">
      <pane xSplit="2" topLeftCell="C1" activePane="topRight" state="frozen"/>
      <selection activeCell="M28" sqref="M28"/>
      <selection pane="topRight" activeCell="S14" sqref="S14"/>
    </sheetView>
  </sheetViews>
  <sheetFormatPr defaultColWidth="9.140625" defaultRowHeight="15" customHeight="1" x14ac:dyDescent="0.2"/>
  <cols>
    <col min="1" max="1" width="2.42578125" style="91" customWidth="1"/>
    <col min="2" max="2" width="61.42578125" style="91" customWidth="1"/>
    <col min="3" max="13" width="14.5703125" style="92" customWidth="1"/>
    <col min="14" max="14" width="2.5703125" style="91" customWidth="1"/>
    <col min="15" max="16384" width="9.140625" style="91"/>
  </cols>
  <sheetData>
    <row r="1" spans="1:18" s="94" customFormat="1" ht="15.75" customHeight="1" x14ac:dyDescent="0.25"/>
    <row r="2" spans="1:18" s="94" customFormat="1" ht="15.75" customHeight="1" x14ac:dyDescent="0.25">
      <c r="C2" s="7"/>
      <c r="D2" s="7"/>
      <c r="E2" s="7"/>
      <c r="F2" s="7"/>
      <c r="G2" s="7"/>
      <c r="H2" s="7"/>
      <c r="I2" s="7"/>
      <c r="J2" s="7"/>
      <c r="K2" s="7"/>
      <c r="L2" s="7"/>
      <c r="M2" s="7" t="s">
        <v>21</v>
      </c>
    </row>
    <row r="3" spans="1:18" s="94" customFormat="1" ht="15.75" customHeight="1" x14ac:dyDescent="0.25"/>
    <row r="4" spans="1:18" s="95" customFormat="1" ht="18" customHeight="1" x14ac:dyDescent="0.2"/>
    <row r="5" spans="1:18" ht="26.25" x14ac:dyDescent="0.2">
      <c r="A5" s="74"/>
      <c r="B5" s="958" t="s">
        <v>29</v>
      </c>
      <c r="C5" s="958"/>
      <c r="D5" s="958"/>
      <c r="E5" s="958"/>
      <c r="F5" s="958"/>
      <c r="G5" s="958"/>
      <c r="H5" s="958"/>
      <c r="I5" s="958"/>
      <c r="J5" s="958"/>
      <c r="K5" s="958"/>
      <c r="L5" s="958"/>
      <c r="M5" s="958"/>
    </row>
    <row r="6" spans="1:18" s="82" customFormat="1" ht="9" customHeight="1" x14ac:dyDescent="0.2">
      <c r="A6" s="74"/>
      <c r="B6" s="76"/>
      <c r="C6" s="76"/>
      <c r="D6" s="76"/>
      <c r="E6" s="76"/>
      <c r="F6" s="76"/>
      <c r="G6" s="76"/>
      <c r="H6" s="76"/>
      <c r="I6" s="76"/>
      <c r="J6" s="76"/>
      <c r="K6" s="76"/>
      <c r="L6" s="76"/>
      <c r="M6" s="76"/>
    </row>
    <row r="7" spans="1:18" s="82" customFormat="1" ht="11.25" customHeight="1" x14ac:dyDescent="0.2">
      <c r="A7" s="78"/>
      <c r="B7" s="83"/>
      <c r="C7" s="83"/>
      <c r="D7" s="83"/>
      <c r="E7" s="83"/>
      <c r="F7" s="83"/>
      <c r="G7" s="83"/>
      <c r="H7" s="83"/>
      <c r="I7" s="83"/>
      <c r="J7" s="83"/>
      <c r="K7" s="83"/>
      <c r="L7" s="83"/>
      <c r="M7" s="83"/>
    </row>
    <row r="8" spans="1:18" s="96" customFormat="1" ht="11.25" customHeight="1" x14ac:dyDescent="0.25">
      <c r="C8" s="97"/>
      <c r="D8" s="97"/>
      <c r="E8" s="97"/>
      <c r="F8" s="97"/>
      <c r="G8" s="97"/>
      <c r="H8" s="97"/>
      <c r="I8" s="97"/>
      <c r="J8" s="97"/>
      <c r="K8" s="97"/>
      <c r="L8" s="97"/>
      <c r="M8" s="97"/>
    </row>
    <row r="9" spans="1:18" s="98" customFormat="1" ht="28.5" customHeight="1" x14ac:dyDescent="0.25">
      <c r="B9" s="168" t="s">
        <v>25</v>
      </c>
      <c r="C9" s="133">
        <v>44286</v>
      </c>
      <c r="D9" s="133">
        <v>44377</v>
      </c>
      <c r="E9" s="133">
        <v>44469</v>
      </c>
      <c r="F9" s="314">
        <v>44561</v>
      </c>
      <c r="G9" s="314">
        <v>44651</v>
      </c>
      <c r="H9" s="133">
        <v>44742</v>
      </c>
      <c r="I9" s="314">
        <v>44834</v>
      </c>
      <c r="J9" s="314">
        <v>44926</v>
      </c>
      <c r="K9" s="314">
        <v>45016</v>
      </c>
      <c r="L9" s="317">
        <v>45107</v>
      </c>
      <c r="M9" s="227">
        <v>45199</v>
      </c>
    </row>
    <row r="10" spans="1:18" s="99" customFormat="1" ht="20.25" customHeight="1" x14ac:dyDescent="0.25">
      <c r="B10" s="213" t="s">
        <v>397</v>
      </c>
      <c r="C10" s="101"/>
      <c r="D10" s="101"/>
      <c r="E10" s="101"/>
      <c r="F10" s="315"/>
      <c r="G10" s="315"/>
      <c r="H10" s="315"/>
      <c r="I10" s="315"/>
      <c r="J10" s="315"/>
      <c r="K10" s="315"/>
      <c r="L10" s="237"/>
      <c r="M10" s="235"/>
    </row>
    <row r="11" spans="1:18" s="99" customFormat="1" ht="20.25" customHeight="1" x14ac:dyDescent="0.25">
      <c r="B11" s="214" t="s">
        <v>398</v>
      </c>
      <c r="C11" s="101">
        <v>30656.991687549966</v>
      </c>
      <c r="D11" s="101">
        <v>26605.545045730003</v>
      </c>
      <c r="E11" s="101">
        <v>26340.611622499997</v>
      </c>
      <c r="F11" s="315">
        <v>27918.333837000009</v>
      </c>
      <c r="G11" s="315">
        <v>28061.088986570005</v>
      </c>
      <c r="H11" s="315">
        <v>28043.942650490008</v>
      </c>
      <c r="I11" s="315">
        <v>28792.26117365</v>
      </c>
      <c r="J11" s="315">
        <v>28557.665536989974</v>
      </c>
      <c r="K11" s="315">
        <v>28191.743425110013</v>
      </c>
      <c r="L11" s="237">
        <v>28717.459791850004</v>
      </c>
      <c r="M11" s="235">
        <v>29041.369762400009</v>
      </c>
    </row>
    <row r="12" spans="1:18" s="99" customFormat="1" ht="20.25" customHeight="1" x14ac:dyDescent="0.25">
      <c r="B12" s="221" t="s">
        <v>238</v>
      </c>
      <c r="C12" s="101"/>
      <c r="D12" s="103">
        <v>2489.667496</v>
      </c>
      <c r="E12" s="302">
        <v>4959.0380000000005</v>
      </c>
      <c r="F12" s="302">
        <v>6236</v>
      </c>
      <c r="G12" s="302">
        <v>6182</v>
      </c>
      <c r="H12" s="302">
        <v>6131.1678308704404</v>
      </c>
      <c r="I12" s="302">
        <v>6108.7819081267126</v>
      </c>
      <c r="J12" s="302">
        <v>6074.4239423764802</v>
      </c>
      <c r="K12" s="302">
        <v>6034.0444514236096</v>
      </c>
      <c r="L12" s="238">
        <v>5951.678018693071</v>
      </c>
      <c r="M12" s="236">
        <v>5900.8357836587293</v>
      </c>
      <c r="Q12" s="638"/>
    </row>
    <row r="13" spans="1:18" s="99" customFormat="1" ht="20.25" customHeight="1" x14ac:dyDescent="0.25">
      <c r="B13" s="214" t="s">
        <v>72</v>
      </c>
      <c r="C13" s="101">
        <v>0</v>
      </c>
      <c r="D13" s="101">
        <v>0</v>
      </c>
      <c r="E13" s="101">
        <v>0</v>
      </c>
      <c r="F13" s="315">
        <v>1474</v>
      </c>
      <c r="G13" s="315">
        <v>0</v>
      </c>
      <c r="H13" s="315">
        <v>0</v>
      </c>
      <c r="I13" s="315">
        <v>0</v>
      </c>
      <c r="J13" s="315">
        <v>1517.3255670000001</v>
      </c>
      <c r="K13" s="315">
        <v>0</v>
      </c>
      <c r="L13" s="237">
        <v>0</v>
      </c>
      <c r="M13" s="235">
        <v>0</v>
      </c>
      <c r="Q13" s="433"/>
    </row>
    <row r="14" spans="1:18" s="99" customFormat="1" ht="20.25" customHeight="1" x14ac:dyDescent="0.25">
      <c r="B14" s="219" t="s">
        <v>38</v>
      </c>
      <c r="C14" s="103">
        <v>13301.92886390994</v>
      </c>
      <c r="D14" s="103">
        <v>7697.3222577499009</v>
      </c>
      <c r="E14" s="103">
        <v>7248.5507194500606</v>
      </c>
      <c r="F14" s="302">
        <v>7195.1704439800578</v>
      </c>
      <c r="G14" s="302">
        <v>7114.9188832399896</v>
      </c>
      <c r="H14" s="302">
        <v>6984.9177105599838</v>
      </c>
      <c r="I14" s="302">
        <v>6945.0078594100114</v>
      </c>
      <c r="J14" s="302">
        <v>6879.6432926499447</v>
      </c>
      <c r="K14" s="302">
        <v>6756.681081040022</v>
      </c>
      <c r="L14" s="238">
        <v>6518.5449787499683</v>
      </c>
      <c r="M14" s="236">
        <v>6475.5954375099827</v>
      </c>
    </row>
    <row r="15" spans="1:18" s="99" customFormat="1" ht="20.25" customHeight="1" x14ac:dyDescent="0.25">
      <c r="B15" s="219" t="s">
        <v>39</v>
      </c>
      <c r="C15" s="103">
        <v>4007.0230331999996</v>
      </c>
      <c r="D15" s="103">
        <v>2459.1639195999692</v>
      </c>
      <c r="E15" s="103">
        <v>2195.9913998799839</v>
      </c>
      <c r="F15" s="302">
        <v>1993.6316238499862</v>
      </c>
      <c r="G15" s="302">
        <v>1981.4769415699855</v>
      </c>
      <c r="H15" s="302">
        <v>1983.9500897699984</v>
      </c>
      <c r="I15" s="302">
        <v>1986.4302856499921</v>
      </c>
      <c r="J15" s="302">
        <v>1895.0359720999691</v>
      </c>
      <c r="K15" s="302">
        <v>1875.528453499981</v>
      </c>
      <c r="L15" s="238">
        <v>1751.8366322199865</v>
      </c>
      <c r="M15" s="236">
        <v>1781.2178743300046</v>
      </c>
    </row>
    <row r="16" spans="1:18" s="99" customFormat="1" ht="20.25" customHeight="1" x14ac:dyDescent="0.25">
      <c r="B16" s="220" t="s">
        <v>399</v>
      </c>
      <c r="C16" s="101">
        <f>C14+C15</f>
        <v>17308.951897109939</v>
      </c>
      <c r="D16" s="101">
        <f>D14+D15</f>
        <v>10156.486177349871</v>
      </c>
      <c r="E16" s="101">
        <f>E14+E15</f>
        <v>9444.5421193300444</v>
      </c>
      <c r="F16" s="315">
        <f>F14+F15</f>
        <v>9188.8020678300436</v>
      </c>
      <c r="G16" s="315">
        <f>G14+G15</f>
        <v>9096.3958248099752</v>
      </c>
      <c r="H16" s="315">
        <f>H15+H14</f>
        <v>8968.8678003299829</v>
      </c>
      <c r="I16" s="315">
        <f>I14+I15</f>
        <v>8931.4381450600031</v>
      </c>
      <c r="J16" s="315">
        <f>J14+J15</f>
        <v>8774.6792647499133</v>
      </c>
      <c r="K16" s="315">
        <f>K14+K15</f>
        <v>8632.209534540003</v>
      </c>
      <c r="L16" s="237">
        <f>L14+L15</f>
        <v>8270.3816109699546</v>
      </c>
      <c r="M16" s="235">
        <f>M14+M15</f>
        <v>8256.8133118399874</v>
      </c>
      <c r="R16" s="433"/>
    </row>
    <row r="17" spans="2:19" s="99" customFormat="1" ht="20.25" customHeight="1" x14ac:dyDescent="0.25">
      <c r="B17" s="220" t="s">
        <v>400</v>
      </c>
      <c r="C17" s="101">
        <f>C11+C16</f>
        <v>47965.943584659908</v>
      </c>
      <c r="D17" s="101">
        <f>D11+D16</f>
        <v>36762.031223079874</v>
      </c>
      <c r="E17" s="101">
        <f>E11+E16</f>
        <v>35785.153741830043</v>
      </c>
      <c r="F17" s="315">
        <f>F11+F13+F16</f>
        <v>38581.135904830051</v>
      </c>
      <c r="G17" s="315">
        <f>G11+G16</f>
        <v>37157.484811379982</v>
      </c>
      <c r="H17" s="315">
        <f>H11+H16</f>
        <v>37012.81045081999</v>
      </c>
      <c r="I17" s="315">
        <f>I11+I16</f>
        <v>37723.699318710002</v>
      </c>
      <c r="J17" s="315">
        <f>J11+J13+J16</f>
        <v>38849.670368739884</v>
      </c>
      <c r="K17" s="315">
        <f>K11+K13+K16</f>
        <v>36823.952959650014</v>
      </c>
      <c r="L17" s="237">
        <f>L11+L13+L16</f>
        <v>36987.841402819962</v>
      </c>
      <c r="M17" s="235">
        <f>M11+M13+M16</f>
        <v>37298.183074239998</v>
      </c>
      <c r="R17" s="433"/>
    </row>
    <row r="18" spans="2:19" s="99" customFormat="1" ht="20.25" customHeight="1" x14ac:dyDescent="0.25">
      <c r="B18" s="214"/>
      <c r="C18" s="101"/>
      <c r="D18" s="101"/>
      <c r="E18" s="101" t="s">
        <v>94</v>
      </c>
      <c r="F18" s="315"/>
      <c r="G18" s="315"/>
      <c r="H18" s="315"/>
      <c r="I18" s="315"/>
      <c r="J18" s="315"/>
      <c r="K18" s="315"/>
      <c r="L18" s="237"/>
      <c r="M18" s="235"/>
      <c r="Q18" s="433"/>
      <c r="R18" s="433"/>
      <c r="S18" s="433"/>
    </row>
    <row r="19" spans="2:19" s="99" customFormat="1" ht="20.25" customHeight="1" x14ac:dyDescent="0.25">
      <c r="B19" s="213" t="s">
        <v>401</v>
      </c>
      <c r="C19" s="101"/>
      <c r="D19" s="101"/>
      <c r="E19" s="101"/>
      <c r="F19" s="315"/>
      <c r="G19" s="315"/>
      <c r="H19" s="315"/>
      <c r="I19" s="315"/>
      <c r="J19" s="315"/>
      <c r="K19" s="315"/>
      <c r="L19" s="237"/>
      <c r="M19" s="235"/>
      <c r="S19" s="433"/>
    </row>
    <row r="20" spans="2:19" s="99" customFormat="1" ht="20.25" customHeight="1" x14ac:dyDescent="0.25">
      <c r="B20" s="214" t="s">
        <v>398</v>
      </c>
      <c r="C20" s="101">
        <v>10857.50231801</v>
      </c>
      <c r="D20" s="101">
        <v>4882.4594959599981</v>
      </c>
      <c r="E20" s="101">
        <v>3492.2410965800009</v>
      </c>
      <c r="F20" s="315">
        <v>2900.7016799564103</v>
      </c>
      <c r="G20" s="315">
        <v>2884.7019356400069</v>
      </c>
      <c r="H20" s="315">
        <v>1783.5284245700002</v>
      </c>
      <c r="I20" s="315">
        <v>1737.2395137399999</v>
      </c>
      <c r="J20" s="315">
        <v>1329.46592289</v>
      </c>
      <c r="K20" s="315">
        <v>1180.5564713599993</v>
      </c>
      <c r="L20" s="237">
        <v>985.02013212999987</v>
      </c>
      <c r="M20" s="235">
        <v>1045.8946054600001</v>
      </c>
      <c r="P20" s="433"/>
    </row>
    <row r="21" spans="2:19" s="99" customFormat="1" ht="20.25" customHeight="1" x14ac:dyDescent="0.25">
      <c r="B21" s="215" t="s">
        <v>32</v>
      </c>
      <c r="C21" s="103">
        <v>4662.5293504199999</v>
      </c>
      <c r="D21" s="103">
        <v>341.44796761999999</v>
      </c>
      <c r="E21" s="103">
        <v>183.54695769</v>
      </c>
      <c r="F21" s="302">
        <v>195.97218848999998</v>
      </c>
      <c r="G21" s="302">
        <v>214.03616097999998</v>
      </c>
      <c r="H21" s="302">
        <v>174.78648602000004</v>
      </c>
      <c r="I21" s="302">
        <v>203.64543909</v>
      </c>
      <c r="J21" s="302">
        <v>227.50133473000002</v>
      </c>
      <c r="K21" s="302">
        <v>263.39582256999995</v>
      </c>
      <c r="L21" s="238">
        <v>130.56384055999999</v>
      </c>
      <c r="M21" s="236">
        <v>155.11272435000001</v>
      </c>
      <c r="P21" s="433"/>
    </row>
    <row r="22" spans="2:19" s="99" customFormat="1" ht="20.25" customHeight="1" x14ac:dyDescent="0.25">
      <c r="B22" s="215" t="s">
        <v>33</v>
      </c>
      <c r="C22" s="103">
        <v>1998.5913036400002</v>
      </c>
      <c r="D22" s="103">
        <v>577.68719177999958</v>
      </c>
      <c r="E22" s="103">
        <v>358.08948777999984</v>
      </c>
      <c r="F22" s="302">
        <v>218.84581636000007</v>
      </c>
      <c r="G22" s="302">
        <v>232.34945528000014</v>
      </c>
      <c r="H22" s="302">
        <v>204.92860217</v>
      </c>
      <c r="I22" s="302">
        <v>212.29177344999999</v>
      </c>
      <c r="J22" s="302">
        <v>214.9766817299998</v>
      </c>
      <c r="K22" s="302">
        <v>224.59155294000024</v>
      </c>
      <c r="L22" s="238">
        <v>93.775955620000033</v>
      </c>
      <c r="M22" s="236">
        <v>105.93434641000003</v>
      </c>
      <c r="P22" s="433"/>
    </row>
    <row r="23" spans="2:19" s="99" customFormat="1" ht="20.25" customHeight="1" x14ac:dyDescent="0.25">
      <c r="B23" s="214" t="s">
        <v>402</v>
      </c>
      <c r="C23" s="101">
        <f>C21+C22</f>
        <v>6661.1206540599997</v>
      </c>
      <c r="D23" s="101">
        <f>D21+D22</f>
        <v>919.13515939999957</v>
      </c>
      <c r="E23" s="101">
        <f>E22+E21</f>
        <v>541.6364454699999</v>
      </c>
      <c r="F23" s="315">
        <f t="shared" ref="F23:J23" si="0">F21+F22</f>
        <v>414.81800485000008</v>
      </c>
      <c r="G23" s="315">
        <f t="shared" si="0"/>
        <v>446.38561626000012</v>
      </c>
      <c r="H23" s="315">
        <f t="shared" si="0"/>
        <v>379.71508819000007</v>
      </c>
      <c r="I23" s="315">
        <f t="shared" si="0"/>
        <v>415.93721254000002</v>
      </c>
      <c r="J23" s="315">
        <f t="shared" si="0"/>
        <v>442.47801645999982</v>
      </c>
      <c r="K23" s="315">
        <f t="shared" ref="K23" si="1">K21+K22</f>
        <v>487.98737551000022</v>
      </c>
      <c r="L23" s="237">
        <f t="shared" ref="L23:M23" si="2">L21+L22</f>
        <v>224.33979618000001</v>
      </c>
      <c r="M23" s="235">
        <f t="shared" si="2"/>
        <v>261.04707076000005</v>
      </c>
      <c r="P23" s="433"/>
    </row>
    <row r="24" spans="2:19" s="99" customFormat="1" ht="20.25" customHeight="1" x14ac:dyDescent="0.25">
      <c r="B24" s="214" t="s">
        <v>403</v>
      </c>
      <c r="C24" s="101">
        <f t="shared" ref="C24:I24" si="3">C20+C23</f>
        <v>17518.622972069999</v>
      </c>
      <c r="D24" s="101">
        <f t="shared" si="3"/>
        <v>5801.5946553599979</v>
      </c>
      <c r="E24" s="101">
        <f t="shared" si="3"/>
        <v>4033.8775420500006</v>
      </c>
      <c r="F24" s="315">
        <f t="shared" si="3"/>
        <v>3315.5196848064106</v>
      </c>
      <c r="G24" s="315">
        <f t="shared" si="3"/>
        <v>3331.0875519000069</v>
      </c>
      <c r="H24" s="315">
        <f t="shared" si="3"/>
        <v>2163.2435127600002</v>
      </c>
      <c r="I24" s="315">
        <f t="shared" si="3"/>
        <v>2153.1767262799999</v>
      </c>
      <c r="J24" s="315">
        <f t="shared" ref="J24" si="4">J20+J23</f>
        <v>1771.9439393499997</v>
      </c>
      <c r="K24" s="315">
        <f t="shared" ref="K24" si="5">K20+K23</f>
        <v>1668.5438468699995</v>
      </c>
      <c r="L24" s="237">
        <f t="shared" ref="L24:M24" si="6">L20+L23</f>
        <v>1209.3599283099998</v>
      </c>
      <c r="M24" s="235">
        <f t="shared" si="6"/>
        <v>1306.9416762200001</v>
      </c>
      <c r="P24" s="433"/>
    </row>
    <row r="25" spans="2:19" s="99" customFormat="1" ht="20.25" customHeight="1" x14ac:dyDescent="0.25">
      <c r="B25" s="214"/>
      <c r="C25" s="101"/>
      <c r="D25" s="101"/>
      <c r="E25" s="101"/>
      <c r="F25" s="315"/>
      <c r="G25" s="315"/>
      <c r="H25" s="315"/>
      <c r="I25" s="315"/>
      <c r="J25" s="315"/>
      <c r="K25" s="315"/>
      <c r="L25" s="237"/>
      <c r="M25" s="235"/>
    </row>
    <row r="26" spans="2:19" s="99" customFormat="1" ht="20.25" customHeight="1" x14ac:dyDescent="0.25">
      <c r="B26" s="213" t="s">
        <v>54</v>
      </c>
      <c r="C26" s="101"/>
      <c r="D26" s="101"/>
      <c r="E26" s="101"/>
      <c r="F26" s="315"/>
      <c r="G26" s="315"/>
      <c r="H26" s="315"/>
      <c r="I26" s="315"/>
      <c r="J26" s="315"/>
      <c r="K26" s="315"/>
      <c r="L26" s="237"/>
      <c r="M26" s="235"/>
    </row>
    <row r="27" spans="2:19" s="99" customFormat="1" ht="20.25" customHeight="1" x14ac:dyDescent="0.25">
      <c r="B27" s="214" t="s">
        <v>398</v>
      </c>
      <c r="C27" s="101">
        <v>14206.919936439999</v>
      </c>
      <c r="D27" s="101">
        <v>7445.6899899599985</v>
      </c>
      <c r="E27" s="101">
        <v>5019.8212674499982</v>
      </c>
      <c r="F27" s="315">
        <v>4121.2170745299964</v>
      </c>
      <c r="G27" s="315">
        <v>3974.0888914799993</v>
      </c>
      <c r="H27" s="315">
        <v>2814.027598950001</v>
      </c>
      <c r="I27" s="315">
        <v>2698.7405230700001</v>
      </c>
      <c r="J27" s="315">
        <v>1968.7959341899998</v>
      </c>
      <c r="K27" s="315">
        <v>1773.9850980499994</v>
      </c>
      <c r="L27" s="237">
        <v>1660.4057894400009</v>
      </c>
      <c r="M27" s="235">
        <v>1625.04652257</v>
      </c>
    </row>
    <row r="28" spans="2:19" s="99" customFormat="1" ht="20.25" customHeight="1" x14ac:dyDescent="0.25">
      <c r="B28" s="215" t="s">
        <v>32</v>
      </c>
      <c r="C28" s="103">
        <v>5755.1823477599964</v>
      </c>
      <c r="D28" s="103">
        <v>854.71663320000005</v>
      </c>
      <c r="E28" s="103">
        <v>521.13542957000027</v>
      </c>
      <c r="F28" s="302">
        <v>493.55002313999972</v>
      </c>
      <c r="G28" s="302">
        <v>446.80479113000007</v>
      </c>
      <c r="H28" s="302">
        <v>352.87157150000002</v>
      </c>
      <c r="I28" s="302">
        <v>369.84721385</v>
      </c>
      <c r="J28" s="302">
        <v>388.79573667</v>
      </c>
      <c r="K28" s="302">
        <v>397.41569729999986</v>
      </c>
      <c r="L28" s="238">
        <v>256.99712136000011</v>
      </c>
      <c r="M28" s="236">
        <v>279.02546720999993</v>
      </c>
    </row>
    <row r="29" spans="2:19" s="99" customFormat="1" ht="20.25" customHeight="1" x14ac:dyDescent="0.25">
      <c r="B29" s="215" t="s">
        <v>33</v>
      </c>
      <c r="C29" s="103">
        <v>2192.7921641899984</v>
      </c>
      <c r="D29" s="103">
        <v>707.3583791500007</v>
      </c>
      <c r="E29" s="103">
        <v>444.56235548000006</v>
      </c>
      <c r="F29" s="302">
        <v>300.26987183999972</v>
      </c>
      <c r="G29" s="302">
        <v>300.84586535999995</v>
      </c>
      <c r="H29" s="302">
        <v>258.8461567199999</v>
      </c>
      <c r="I29" s="302">
        <v>262.70398369999992</v>
      </c>
      <c r="J29" s="302">
        <v>266.72455822000006</v>
      </c>
      <c r="K29" s="302">
        <v>270.15212166999987</v>
      </c>
      <c r="L29" s="238">
        <v>131.17672092999976</v>
      </c>
      <c r="M29" s="236">
        <v>141.38426670999996</v>
      </c>
    </row>
    <row r="30" spans="2:19" s="99" customFormat="1" ht="20.25" customHeight="1" x14ac:dyDescent="0.25">
      <c r="B30" s="214" t="s">
        <v>402</v>
      </c>
      <c r="C30" s="101">
        <f>C28+C29</f>
        <v>7947.9745119499948</v>
      </c>
      <c r="D30" s="101">
        <f>D28+D29</f>
        <v>1562.0750123500006</v>
      </c>
      <c r="E30" s="101">
        <f>E28+E29</f>
        <v>965.69778505000033</v>
      </c>
      <c r="F30" s="315">
        <f>+F28+F29</f>
        <v>793.81989497999939</v>
      </c>
      <c r="G30" s="315">
        <f t="shared" ref="G30:K30" si="7">G28+G29</f>
        <v>747.65065649000007</v>
      </c>
      <c r="H30" s="315">
        <f t="shared" si="7"/>
        <v>611.71772821999991</v>
      </c>
      <c r="I30" s="315">
        <f t="shared" si="7"/>
        <v>632.55119754999987</v>
      </c>
      <c r="J30" s="315">
        <f t="shared" si="7"/>
        <v>655.52029489000006</v>
      </c>
      <c r="K30" s="315">
        <f t="shared" si="7"/>
        <v>667.56781896999973</v>
      </c>
      <c r="L30" s="237">
        <f t="shared" ref="L30:M30" si="8">L28+L29</f>
        <v>388.17384228999987</v>
      </c>
      <c r="M30" s="235">
        <f t="shared" si="8"/>
        <v>420.40973391999989</v>
      </c>
    </row>
    <row r="31" spans="2:19" s="99" customFormat="1" ht="20.25" customHeight="1" x14ac:dyDescent="0.25">
      <c r="B31" s="214" t="s">
        <v>403</v>
      </c>
      <c r="C31" s="101">
        <f t="shared" ref="C31:I31" si="9">C27+C30</f>
        <v>22154.894448389994</v>
      </c>
      <c r="D31" s="101">
        <f t="shared" si="9"/>
        <v>9007.7650023099995</v>
      </c>
      <c r="E31" s="101">
        <f t="shared" si="9"/>
        <v>5985.5190524999989</v>
      </c>
      <c r="F31" s="315">
        <f t="shared" si="9"/>
        <v>4915.0369695099962</v>
      </c>
      <c r="G31" s="315">
        <f t="shared" si="9"/>
        <v>4721.739547969999</v>
      </c>
      <c r="H31" s="315">
        <f t="shared" si="9"/>
        <v>3425.745327170001</v>
      </c>
      <c r="I31" s="315">
        <f t="shared" si="9"/>
        <v>3331.29172062</v>
      </c>
      <c r="J31" s="315">
        <f t="shared" ref="J31" si="10">J27+J30</f>
        <v>2624.3162290800001</v>
      </c>
      <c r="K31" s="315">
        <f t="shared" ref="K31" si="11">K27+K30</f>
        <v>2441.5529170199989</v>
      </c>
      <c r="L31" s="237">
        <f t="shared" ref="L31:M31" si="12">L27+L30</f>
        <v>2048.579631730001</v>
      </c>
      <c r="M31" s="235">
        <f t="shared" si="12"/>
        <v>2045.4562564899998</v>
      </c>
    </row>
    <row r="32" spans="2:19" s="99" customFormat="1" ht="20.25" customHeight="1" x14ac:dyDescent="0.25">
      <c r="B32" s="214"/>
      <c r="C32" s="101"/>
      <c r="D32" s="101"/>
      <c r="E32" s="101"/>
      <c r="F32" s="315"/>
      <c r="G32" s="315"/>
      <c r="H32" s="315"/>
      <c r="I32" s="315"/>
      <c r="J32" s="315"/>
      <c r="K32" s="315"/>
      <c r="L32" s="237"/>
      <c r="M32" s="235"/>
    </row>
    <row r="33" spans="2:13" s="99" customFormat="1" ht="20.25" hidden="1" customHeight="1" x14ac:dyDescent="0.25">
      <c r="B33" s="214"/>
      <c r="C33" s="101"/>
      <c r="D33" s="101"/>
      <c r="E33" s="101"/>
      <c r="F33" s="315"/>
      <c r="G33" s="315"/>
      <c r="H33" s="315"/>
      <c r="I33" s="315"/>
      <c r="J33" s="315"/>
      <c r="K33" s="315"/>
      <c r="L33" s="237"/>
      <c r="M33" s="235"/>
    </row>
    <row r="34" spans="2:13" s="99" customFormat="1" ht="20.25" hidden="1" customHeight="1" x14ac:dyDescent="0.25">
      <c r="B34" s="214"/>
      <c r="C34" s="101"/>
      <c r="D34" s="101"/>
      <c r="E34" s="101"/>
      <c r="F34" s="315"/>
      <c r="G34" s="315"/>
      <c r="H34" s="315"/>
      <c r="I34" s="315"/>
      <c r="J34" s="315"/>
      <c r="K34" s="315"/>
      <c r="L34" s="237"/>
      <c r="M34" s="235"/>
    </row>
    <row r="35" spans="2:13" s="99" customFormat="1" ht="20.25" customHeight="1" x14ac:dyDescent="0.25">
      <c r="B35" s="213" t="s">
        <v>34</v>
      </c>
      <c r="C35" s="101"/>
      <c r="D35" s="101"/>
      <c r="E35" s="101"/>
      <c r="F35" s="315"/>
      <c r="G35" s="315"/>
      <c r="H35" s="315"/>
      <c r="I35" s="315"/>
      <c r="J35" s="315"/>
      <c r="K35" s="315"/>
      <c r="L35" s="237"/>
      <c r="M35" s="235"/>
    </row>
    <row r="36" spans="2:13" s="99" customFormat="1" ht="21" customHeight="1" x14ac:dyDescent="0.25">
      <c r="B36" s="214" t="s">
        <v>398</v>
      </c>
      <c r="C36" s="101">
        <v>6764.07388249</v>
      </c>
      <c r="D36" s="101">
        <v>2858.06169851</v>
      </c>
      <c r="E36" s="101">
        <v>1875.6972491399999</v>
      </c>
      <c r="F36" s="315">
        <v>1687.6138835700001</v>
      </c>
      <c r="G36" s="315">
        <v>1762.514131014563</v>
      </c>
      <c r="H36" s="315">
        <v>1273.9698686300001</v>
      </c>
      <c r="I36" s="315">
        <v>1338.1540279739479</v>
      </c>
      <c r="J36" s="315">
        <v>1131.6451049063865</v>
      </c>
      <c r="K36" s="315">
        <v>1059.972212671262</v>
      </c>
      <c r="L36" s="237">
        <v>1000.017739251538</v>
      </c>
      <c r="M36" s="235">
        <v>998.11833876000003</v>
      </c>
    </row>
    <row r="37" spans="2:13" s="99" customFormat="1" ht="21" customHeight="1" x14ac:dyDescent="0.25">
      <c r="B37" s="215" t="s">
        <v>32</v>
      </c>
      <c r="C37" s="103">
        <v>2101.7480691800001</v>
      </c>
      <c r="D37" s="103">
        <v>126.62905477</v>
      </c>
      <c r="E37" s="103">
        <v>70.64527133</v>
      </c>
      <c r="F37" s="302">
        <v>72.462015089999994</v>
      </c>
      <c r="G37" s="302">
        <v>81.753611200000009</v>
      </c>
      <c r="H37" s="302">
        <v>80.594922580000002</v>
      </c>
      <c r="I37" s="302">
        <v>83.60878763829318</v>
      </c>
      <c r="J37" s="302">
        <v>86.436325317913628</v>
      </c>
      <c r="K37" s="302">
        <v>89.259121989929753</v>
      </c>
      <c r="L37" s="238">
        <v>47.792738938082771</v>
      </c>
      <c r="M37" s="236">
        <v>50.083827849999992</v>
      </c>
    </row>
    <row r="38" spans="2:13" s="99" customFormat="1" ht="21" customHeight="1" x14ac:dyDescent="0.25">
      <c r="B38" s="215" t="s">
        <v>33</v>
      </c>
      <c r="C38" s="103">
        <v>1618.7596660499999</v>
      </c>
      <c r="D38" s="103">
        <v>514.85013379999998</v>
      </c>
      <c r="E38" s="103">
        <v>372.53253017000003</v>
      </c>
      <c r="F38" s="302">
        <v>222.87565173000002</v>
      </c>
      <c r="G38" s="302">
        <v>236.25888628000001</v>
      </c>
      <c r="H38" s="302">
        <v>212.90668455000005</v>
      </c>
      <c r="I38" s="302">
        <v>208.90147599533915</v>
      </c>
      <c r="J38" s="302">
        <v>213.38569343117175</v>
      </c>
      <c r="K38" s="302">
        <v>210.50448347320943</v>
      </c>
      <c r="L38" s="238">
        <v>116.17888437747696</v>
      </c>
      <c r="M38" s="236">
        <v>123.69489336000001</v>
      </c>
    </row>
    <row r="39" spans="2:13" s="99" customFormat="1" ht="21" customHeight="1" x14ac:dyDescent="0.25">
      <c r="B39" s="214" t="s">
        <v>402</v>
      </c>
      <c r="C39" s="101">
        <v>3720.50773523</v>
      </c>
      <c r="D39" s="101">
        <v>641.47918857000002</v>
      </c>
      <c r="E39" s="101">
        <v>443.17780150000004</v>
      </c>
      <c r="F39" s="315">
        <v>295.33766681999998</v>
      </c>
      <c r="G39" s="315">
        <v>318.01249748000004</v>
      </c>
      <c r="H39" s="315">
        <v>293.50160713000002</v>
      </c>
      <c r="I39" s="315">
        <v>292.51026363363235</v>
      </c>
      <c r="J39" s="315">
        <v>299.82201874908537</v>
      </c>
      <c r="K39" s="315">
        <v>299.76360546313919</v>
      </c>
      <c r="L39" s="237">
        <v>163.97162331555973</v>
      </c>
      <c r="M39" s="235">
        <v>173.77872121000001</v>
      </c>
    </row>
    <row r="40" spans="2:13" s="99" customFormat="1" ht="21" customHeight="1" x14ac:dyDescent="0.25">
      <c r="B40" s="214" t="s">
        <v>404</v>
      </c>
      <c r="C40" s="101">
        <f>C36+C39</f>
        <v>10484.581617719999</v>
      </c>
      <c r="D40" s="101">
        <f t="shared" ref="D40:F40" si="13">D36+D39</f>
        <v>3499.5408870800002</v>
      </c>
      <c r="E40" s="101">
        <f t="shared" si="13"/>
        <v>2318.8750506400002</v>
      </c>
      <c r="F40" s="101">
        <f t="shared" si="13"/>
        <v>1982.9515503900002</v>
      </c>
      <c r="G40" s="101">
        <f t="shared" ref="G40" si="14">G36+G39</f>
        <v>2080.5266284945628</v>
      </c>
      <c r="H40" s="101">
        <f t="shared" ref="H40" si="15">H36+H39</f>
        <v>1567.47147576</v>
      </c>
      <c r="I40" s="101">
        <f t="shared" ref="I40" si="16">I36+I39</f>
        <v>1630.6642916075803</v>
      </c>
      <c r="J40" s="101">
        <f t="shared" ref="J40" si="17">J36+J39</f>
        <v>1431.4671236554718</v>
      </c>
      <c r="K40" s="101">
        <f t="shared" ref="K40" si="18">K36+K39</f>
        <v>1359.7358181344011</v>
      </c>
      <c r="L40" s="237">
        <f>L36+L39</f>
        <v>1163.9893625670977</v>
      </c>
      <c r="M40" s="235">
        <f>M36+M39</f>
        <v>1171.8970599700001</v>
      </c>
    </row>
    <row r="41" spans="2:13" s="99" customFormat="1" ht="20.25" customHeight="1" x14ac:dyDescent="0.25">
      <c r="B41" s="214"/>
      <c r="C41" s="101"/>
      <c r="D41" s="101"/>
      <c r="E41" s="101"/>
      <c r="F41" s="315"/>
      <c r="G41" s="315"/>
      <c r="H41" s="315"/>
      <c r="I41" s="315"/>
      <c r="J41" s="315"/>
      <c r="K41" s="315"/>
      <c r="L41" s="237"/>
      <c r="M41" s="235"/>
    </row>
    <row r="42" spans="2:13" s="99" customFormat="1" ht="20.25" customHeight="1" x14ac:dyDescent="0.25">
      <c r="B42" s="213" t="s">
        <v>405</v>
      </c>
      <c r="C42" s="101"/>
      <c r="D42" s="101"/>
      <c r="E42" s="101"/>
      <c r="F42" s="315"/>
      <c r="G42" s="315"/>
      <c r="H42" s="315"/>
      <c r="I42" s="315"/>
      <c r="J42" s="315"/>
      <c r="K42" s="315"/>
      <c r="L42" s="237"/>
      <c r="M42" s="235"/>
    </row>
    <row r="43" spans="2:13" s="99" customFormat="1" ht="20.25" customHeight="1" x14ac:dyDescent="0.25">
      <c r="B43" s="214" t="s">
        <v>398</v>
      </c>
      <c r="C43" s="65">
        <f t="shared" ref="C43:E43" si="19">+C20/C11</f>
        <v>0.35416072224788164</v>
      </c>
      <c r="D43" s="65">
        <f t="shared" si="19"/>
        <v>0.18351285371406428</v>
      </c>
      <c r="E43" s="65">
        <f t="shared" si="19"/>
        <v>0.13258010659087918</v>
      </c>
      <c r="F43" s="65">
        <f>+F20/(F11+F13)</f>
        <v>9.8689055998163522E-2</v>
      </c>
      <c r="G43" s="65">
        <f t="shared" ref="G43" si="20">+G20/G11</f>
        <v>0.10280078356975458</v>
      </c>
      <c r="H43" s="65">
        <f t="shared" ref="H43" si="21">+H20/H11</f>
        <v>6.3597634854628285E-2</v>
      </c>
      <c r="I43" s="65">
        <f t="shared" ref="I43" si="22">+I20/I11</f>
        <v>6.0337029567163018E-2</v>
      </c>
      <c r="J43" s="65">
        <f>+J20/(J11+J13)</f>
        <v>4.4205031293047432E-2</v>
      </c>
      <c r="K43" s="65">
        <f>+K20/(K11+K13)</f>
        <v>4.1875965368941788E-2</v>
      </c>
      <c r="L43" s="242">
        <f>+L20/(L11+L13)</f>
        <v>3.4300392140169306E-2</v>
      </c>
      <c r="M43" s="239">
        <f>+M20/(M11+M13)</f>
        <v>3.6013955747160542E-2</v>
      </c>
    </row>
    <row r="44" spans="2:13" s="99" customFormat="1" ht="20.25" customHeight="1" x14ac:dyDescent="0.25">
      <c r="B44" s="215" t="s">
        <v>32</v>
      </c>
      <c r="C44" s="73">
        <f t="shared" ref="C44:E44" si="23">+C21/C14</f>
        <v>0.35051528226632739</v>
      </c>
      <c r="D44" s="73">
        <f t="shared" si="23"/>
        <v>4.4359318239043412E-2</v>
      </c>
      <c r="E44" s="73">
        <f t="shared" si="23"/>
        <v>2.5321883614263446E-2</v>
      </c>
      <c r="F44" s="73">
        <f t="shared" ref="F44" si="24">+F21/F14</f>
        <v>2.723662907165221E-2</v>
      </c>
      <c r="G44" s="73">
        <f t="shared" ref="G44" si="25">+G21/G14</f>
        <v>3.0082726801592467E-2</v>
      </c>
      <c r="H44" s="73">
        <f t="shared" ref="H44" si="26">+H21/H14</f>
        <v>2.5023413769893553E-2</v>
      </c>
      <c r="I44" s="73">
        <f t="shared" ref="I44" si="27">+I21/I14</f>
        <v>2.932256423786106E-2</v>
      </c>
      <c r="J44" s="73">
        <f t="shared" ref="J44" si="28">+J21/J14</f>
        <v>3.3068768982987433E-2</v>
      </c>
      <c r="K44" s="73">
        <f t="shared" ref="K44" si="29">+K21/K14</f>
        <v>3.898301835040241E-2</v>
      </c>
      <c r="L44" s="243">
        <f t="shared" ref="L44:M44" si="30">+L21/L14</f>
        <v>2.0029598780959494E-2</v>
      </c>
      <c r="M44" s="240">
        <f t="shared" si="30"/>
        <v>2.3953430359702099E-2</v>
      </c>
    </row>
    <row r="45" spans="2:13" s="99" customFormat="1" ht="20.25" customHeight="1" x14ac:dyDescent="0.25">
      <c r="B45" s="215" t="s">
        <v>33</v>
      </c>
      <c r="C45" s="73">
        <f t="shared" ref="C45:E45" si="31">+C22/C15</f>
        <v>0.49877210265096222</v>
      </c>
      <c r="D45" s="73">
        <f t="shared" si="31"/>
        <v>0.23491203135168462</v>
      </c>
      <c r="E45" s="73">
        <f t="shared" si="31"/>
        <v>0.16306506837848742</v>
      </c>
      <c r="F45" s="73">
        <f t="shared" ref="F45" si="32">+F22/F15</f>
        <v>0.10977244428806646</v>
      </c>
      <c r="G45" s="73">
        <f t="shared" ref="G45" si="33">+G22/G15</f>
        <v>0.11726074142245757</v>
      </c>
      <c r="H45" s="73">
        <f t="shared" ref="H45" si="34">+H22/H15</f>
        <v>0.10329322457590534</v>
      </c>
      <c r="I45" s="73">
        <f t="shared" ref="I45" si="35">+I22/I15</f>
        <v>0.10687099113600892</v>
      </c>
      <c r="J45" s="73">
        <f t="shared" ref="J45" si="36">+J22/J15</f>
        <v>0.11344200579568688</v>
      </c>
      <c r="K45" s="73">
        <f t="shared" ref="K45" si="37">+K22/K15</f>
        <v>0.11974841145218729</v>
      </c>
      <c r="L45" s="243">
        <f t="shared" ref="L45:M45" si="38">+L22/L15</f>
        <v>5.3530080314146633E-2</v>
      </c>
      <c r="M45" s="240">
        <f t="shared" si="38"/>
        <v>5.9472986396931736E-2</v>
      </c>
    </row>
    <row r="46" spans="2:13" s="99" customFormat="1" ht="20.25" customHeight="1" x14ac:dyDescent="0.25">
      <c r="B46" s="214" t="s">
        <v>402</v>
      </c>
      <c r="C46" s="65">
        <f t="shared" ref="C46:E46" si="39">+C23/C16</f>
        <v>0.38483674191573675</v>
      </c>
      <c r="D46" s="65">
        <f t="shared" si="39"/>
        <v>9.0497357388205427E-2</v>
      </c>
      <c r="E46" s="65">
        <f t="shared" si="39"/>
        <v>5.7349148177489546E-2</v>
      </c>
      <c r="F46" s="65">
        <f t="shared" ref="F46" si="40">+F23/F16</f>
        <v>4.5143861167961832E-2</v>
      </c>
      <c r="G46" s="65">
        <f t="shared" ref="G46" si="41">+G23/G16</f>
        <v>4.9072800354894974E-2</v>
      </c>
      <c r="H46" s="65">
        <f t="shared" ref="H46" si="42">+H23/H16</f>
        <v>4.2337014731784715E-2</v>
      </c>
      <c r="I46" s="65">
        <f t="shared" ref="I46" si="43">+I23/I16</f>
        <v>4.6570015464984856E-2</v>
      </c>
      <c r="J46" s="65">
        <f t="shared" ref="J46" si="44">+J23/J16</f>
        <v>5.0426688327805322E-2</v>
      </c>
      <c r="K46" s="65">
        <f t="shared" ref="K46" si="45">+K23/K16</f>
        <v>5.6530992853848085E-2</v>
      </c>
      <c r="L46" s="242">
        <f>+L23/L16</f>
        <v>2.7125688599717385E-2</v>
      </c>
      <c r="M46" s="239">
        <f>+M23/M16</f>
        <v>3.1615958954245398E-2</v>
      </c>
    </row>
    <row r="47" spans="2:13" s="99" customFormat="1" ht="20.25" customHeight="1" x14ac:dyDescent="0.25">
      <c r="B47" s="214" t="s">
        <v>404</v>
      </c>
      <c r="C47" s="65">
        <f t="shared" ref="C47:E47" si="46">+C24/(C17)</f>
        <v>0.365230446079928</v>
      </c>
      <c r="D47" s="65">
        <f t="shared" si="46"/>
        <v>0.15781485577210574</v>
      </c>
      <c r="E47" s="65">
        <f t="shared" si="46"/>
        <v>0.11272489063906727</v>
      </c>
      <c r="F47" s="65">
        <f t="shared" ref="F47:J47" si="47">+F24/(F17)</f>
        <v>8.5936290030054138E-2</v>
      </c>
      <c r="G47" s="65">
        <f t="shared" si="47"/>
        <v>8.9647821127005242E-2</v>
      </c>
      <c r="H47" s="65">
        <f t="shared" si="47"/>
        <v>5.8445805287722356E-2</v>
      </c>
      <c r="I47" s="65">
        <f t="shared" si="47"/>
        <v>5.7077560397478799E-2</v>
      </c>
      <c r="J47" s="65">
        <f t="shared" si="47"/>
        <v>4.5610269598986918E-2</v>
      </c>
      <c r="K47" s="65">
        <f t="shared" ref="K47" si="48">+K24/(K17)</f>
        <v>4.5311372429198804E-2</v>
      </c>
      <c r="L47" s="242">
        <f t="shared" ref="L47:M47" si="49">+L24/(L17)</f>
        <v>3.2696147772975956E-2</v>
      </c>
      <c r="M47" s="239">
        <f t="shared" si="49"/>
        <v>3.5040357692990139E-2</v>
      </c>
    </row>
    <row r="48" spans="2:13" s="99" customFormat="1" ht="20.25" customHeight="1" x14ac:dyDescent="0.25">
      <c r="B48" s="214"/>
      <c r="C48" s="101"/>
      <c r="D48" s="101"/>
      <c r="E48" s="101"/>
      <c r="F48" s="315"/>
      <c r="G48" s="315"/>
      <c r="H48" s="315"/>
      <c r="I48" s="315"/>
      <c r="J48" s="315"/>
      <c r="K48" s="315"/>
      <c r="L48" s="237"/>
      <c r="M48" s="235"/>
    </row>
    <row r="49" spans="2:13" s="99" customFormat="1" ht="20.25" customHeight="1" x14ac:dyDescent="0.25">
      <c r="B49" s="104" t="s">
        <v>53</v>
      </c>
      <c r="C49" s="59"/>
      <c r="D49" s="59"/>
      <c r="E49" s="65"/>
      <c r="F49" s="65"/>
      <c r="G49" s="65"/>
      <c r="H49" s="65"/>
      <c r="I49" s="65"/>
      <c r="J49" s="65"/>
      <c r="K49" s="65"/>
      <c r="L49" s="242"/>
      <c r="M49" s="239"/>
    </row>
    <row r="50" spans="2:13" s="99" customFormat="1" ht="20.25" customHeight="1" x14ac:dyDescent="0.25">
      <c r="B50" s="105" t="s">
        <v>398</v>
      </c>
      <c r="C50" s="65">
        <f t="shared" ref="C50" si="50">+C27/C11</f>
        <v>0.46341533054626283</v>
      </c>
      <c r="D50" s="65">
        <f>+D27/(D11)</f>
        <v>0.27985481887938157</v>
      </c>
      <c r="E50" s="65">
        <f>+E27/(E11)</f>
        <v>0.19057345134545381</v>
      </c>
      <c r="F50" s="65">
        <f t="shared" ref="F50:J50" si="51">+F27/(F11+F13)</f>
        <v>0.14021401285739604</v>
      </c>
      <c r="G50" s="65">
        <f t="shared" si="51"/>
        <v>0.14162276073398264</v>
      </c>
      <c r="H50" s="65">
        <f t="shared" si="51"/>
        <v>0.10034350854375435</v>
      </c>
      <c r="I50" s="65">
        <f t="shared" si="51"/>
        <v>9.3731454670876069E-2</v>
      </c>
      <c r="J50" s="65">
        <f t="shared" si="51"/>
        <v>6.5462893318322696E-2</v>
      </c>
      <c r="K50" s="65">
        <f>+K27/(K11+K13)</f>
        <v>6.2925696765171832E-2</v>
      </c>
      <c r="L50" s="242">
        <f>+L27/(L11+L13)</f>
        <v>5.7818685965783892E-2</v>
      </c>
      <c r="M50" s="239">
        <f>+M27/(M11+M13)</f>
        <v>5.595626294025411E-2</v>
      </c>
    </row>
    <row r="51" spans="2:13" s="99" customFormat="1" ht="20.25" customHeight="1" x14ac:dyDescent="0.25">
      <c r="B51" s="106" t="s">
        <v>32</v>
      </c>
      <c r="C51" s="73">
        <f t="shared" ref="C51:E51" si="52">+C28/C14</f>
        <v>0.43265773006609892</v>
      </c>
      <c r="D51" s="73">
        <f t="shared" si="52"/>
        <v>0.11104077555534914</v>
      </c>
      <c r="E51" s="73">
        <f t="shared" si="52"/>
        <v>7.1895120795890388E-2</v>
      </c>
      <c r="F51" s="73">
        <f t="shared" ref="F51" si="53">+F28/F14</f>
        <v>6.8594625656565988E-2</v>
      </c>
      <c r="G51" s="73">
        <f t="shared" ref="G51" si="54">+G28/G14</f>
        <v>6.2798297276796811E-2</v>
      </c>
      <c r="H51" s="73">
        <f>+H28/H14</f>
        <v>5.0519073541341712E-2</v>
      </c>
      <c r="I51" s="73">
        <f t="shared" ref="I51" si="55">+I28/I14</f>
        <v>5.3253678230022777E-2</v>
      </c>
      <c r="J51" s="73">
        <f t="shared" ref="J51" si="56">+J28/J14</f>
        <v>5.6513938314996737E-2</v>
      </c>
      <c r="K51" s="73">
        <f t="shared" ref="K51" si="57">+K28/K14</f>
        <v>5.8818181964395401E-2</v>
      </c>
      <c r="L51" s="243">
        <f t="shared" ref="L51:M51" si="58">+L28/L14</f>
        <v>3.9425534716381334E-2</v>
      </c>
      <c r="M51" s="240">
        <f t="shared" si="58"/>
        <v>4.3088773828232188E-2</v>
      </c>
    </row>
    <row r="52" spans="2:13" s="99" customFormat="1" ht="20.25" customHeight="1" x14ac:dyDescent="0.25">
      <c r="B52" s="106" t="s">
        <v>33</v>
      </c>
      <c r="C52" s="73">
        <f t="shared" ref="C52:E52" si="59">+C29/C15</f>
        <v>0.54723722474807923</v>
      </c>
      <c r="D52" s="73">
        <f t="shared" si="59"/>
        <v>0.28764181741291417</v>
      </c>
      <c r="E52" s="73">
        <f t="shared" si="59"/>
        <v>0.20244266689946802</v>
      </c>
      <c r="F52" s="73">
        <f t="shared" ref="F52" si="60">+F29/F15</f>
        <v>0.15061452088131302</v>
      </c>
      <c r="G52" s="73">
        <f t="shared" ref="G52" si="61">+G29/G15</f>
        <v>0.15182910234707575</v>
      </c>
      <c r="H52" s="73">
        <f t="shared" ref="H52" si="62">+H29/H15</f>
        <v>0.13047009501635609</v>
      </c>
      <c r="I52" s="73">
        <f t="shared" ref="I52" si="63">+I29/I15</f>
        <v>0.1322492843558509</v>
      </c>
      <c r="J52" s="73">
        <f t="shared" ref="J52" si="64">+J29/J15</f>
        <v>0.1407490739737417</v>
      </c>
      <c r="K52" s="73">
        <f t="shared" ref="K52" si="65">+K29/K15</f>
        <v>0.14404053490410168</v>
      </c>
      <c r="L52" s="243">
        <f t="shared" ref="L52:M52" si="66">+L29/L15</f>
        <v>7.4879539859700375E-2</v>
      </c>
      <c r="M52" s="240">
        <f t="shared" si="66"/>
        <v>7.9375054982075616E-2</v>
      </c>
    </row>
    <row r="53" spans="2:13" s="99" customFormat="1" ht="20.25" customHeight="1" x14ac:dyDescent="0.25">
      <c r="B53" s="105" t="s">
        <v>402</v>
      </c>
      <c r="C53" s="65">
        <f t="shared" ref="C53:E53" si="67">+C30/C16</f>
        <v>0.4591828875136606</v>
      </c>
      <c r="D53" s="65">
        <f t="shared" si="67"/>
        <v>0.15380073236683048</v>
      </c>
      <c r="E53" s="65">
        <f t="shared" si="67"/>
        <v>0.10224929624417863</v>
      </c>
      <c r="F53" s="65">
        <f t="shared" ref="F53" si="68">+F30/F16</f>
        <v>8.6389922116089479E-2</v>
      </c>
      <c r="G53" s="65">
        <f t="shared" ref="G53" si="69">+G30/G16</f>
        <v>8.2191966014805495E-2</v>
      </c>
      <c r="H53" s="65">
        <f t="shared" ref="H53" si="70">+H30/H16</f>
        <v>6.8204565151188154E-2</v>
      </c>
      <c r="I53" s="65">
        <f t="shared" ref="I53" si="71">+I30/I16</f>
        <v>7.0822994827531252E-2</v>
      </c>
      <c r="J53" s="65">
        <f t="shared" ref="J53" si="72">+J30/J16</f>
        <v>7.4705898086029135E-2</v>
      </c>
      <c r="K53" s="65">
        <f t="shared" ref="K53" si="73">+K30/K16</f>
        <v>7.7334524411028838E-2</v>
      </c>
      <c r="L53" s="242">
        <f t="shared" ref="L53:M53" si="74">+L30/L16</f>
        <v>4.6935420945403587E-2</v>
      </c>
      <c r="M53" s="239">
        <f t="shared" si="74"/>
        <v>5.0916705760701494E-2</v>
      </c>
    </row>
    <row r="54" spans="2:13" s="99" customFormat="1" ht="20.25" customHeight="1" x14ac:dyDescent="0.25">
      <c r="B54" s="105" t="s">
        <v>404</v>
      </c>
      <c r="C54" s="65">
        <f t="shared" ref="C54:E54" si="75">+C31/(C17)</f>
        <v>0.46188801455112827</v>
      </c>
      <c r="D54" s="65">
        <f t="shared" si="75"/>
        <v>0.24502903410448007</v>
      </c>
      <c r="E54" s="65">
        <f t="shared" si="75"/>
        <v>0.16726263342843756</v>
      </c>
      <c r="F54" s="65">
        <f>+F31/(F17)</f>
        <v>0.12739482273497998</v>
      </c>
      <c r="G54" s="65">
        <f t="shared" ref="G54" si="76">+G31/(G17)</f>
        <v>0.12707371265678086</v>
      </c>
      <c r="H54" s="65">
        <f t="shared" ref="H54" si="77">+H31/(H17)</f>
        <v>9.2555666144884877E-2</v>
      </c>
      <c r="I54" s="65">
        <f t="shared" ref="I54" si="78">+I31/(I17)</f>
        <v>8.8307662842805112E-2</v>
      </c>
      <c r="J54" s="65">
        <f t="shared" ref="J54" si="79">+J31/(J17)</f>
        <v>6.7550540433713377E-2</v>
      </c>
      <c r="K54" s="65">
        <f t="shared" ref="K54" si="80">+K31/(K17)</f>
        <v>6.630339007046146E-2</v>
      </c>
      <c r="L54" s="242">
        <f t="shared" ref="L54:M54" si="81">+L31/(L17)</f>
        <v>5.5385217250710307E-2</v>
      </c>
      <c r="M54" s="239">
        <f t="shared" si="81"/>
        <v>5.4840640693371863E-2</v>
      </c>
    </row>
    <row r="55" spans="2:13" s="99" customFormat="1" ht="20.25" customHeight="1" x14ac:dyDescent="0.25">
      <c r="B55" s="102"/>
      <c r="C55" s="59"/>
      <c r="D55" s="59"/>
      <c r="E55" s="65"/>
      <c r="F55" s="65"/>
      <c r="G55" s="65"/>
      <c r="H55" s="65"/>
      <c r="I55" s="65"/>
      <c r="J55" s="65"/>
      <c r="K55" s="65"/>
      <c r="L55" s="242"/>
      <c r="M55" s="239"/>
    </row>
    <row r="56" spans="2:13" s="99" customFormat="1" ht="20.25" customHeight="1" x14ac:dyDescent="0.25">
      <c r="B56" s="213" t="s">
        <v>36</v>
      </c>
      <c r="C56" s="101"/>
      <c r="D56" s="101"/>
      <c r="E56" s="101"/>
      <c r="F56" s="315"/>
      <c r="G56" s="315"/>
      <c r="H56" s="315"/>
      <c r="I56" s="315"/>
      <c r="J56" s="315"/>
      <c r="K56" s="315"/>
      <c r="L56" s="237"/>
      <c r="M56" s="235"/>
    </row>
    <row r="57" spans="2:13" s="99" customFormat="1" ht="20.25" customHeight="1" x14ac:dyDescent="0.25">
      <c r="B57" s="214" t="s">
        <v>398</v>
      </c>
      <c r="C57" s="65">
        <f t="shared" ref="C57:E57" si="82">+C36/C11</f>
        <v>0.22063723510212976</v>
      </c>
      <c r="D57" s="65">
        <f t="shared" si="82"/>
        <v>0.10742353496602011</v>
      </c>
      <c r="E57" s="65">
        <f t="shared" si="82"/>
        <v>7.1209327863055019E-2</v>
      </c>
      <c r="F57" s="65">
        <f>+F36/(F11+F13)</f>
        <v>5.7416804426927738E-2</v>
      </c>
      <c r="G57" s="65">
        <f t="shared" ref="G57" si="83">+G36/G11</f>
        <v>6.2809897786151481E-2</v>
      </c>
      <c r="H57" s="65">
        <f t="shared" ref="H57" si="84">+H36/H11</f>
        <v>4.5427630647637919E-2</v>
      </c>
      <c r="I57" s="65">
        <f t="shared" ref="I57" si="85">+I36/I11</f>
        <v>4.6476170103603914E-2</v>
      </c>
      <c r="J57" s="65">
        <f>+J36/(J11+J13)</f>
        <v>3.7627446039585156E-2</v>
      </c>
      <c r="K57" s="65">
        <f>+K36/(K11+K13)</f>
        <v>3.7598675494725127E-2</v>
      </c>
      <c r="L57" s="242">
        <f>+L36/(L11+L13)</f>
        <v>3.4822639136604362E-2</v>
      </c>
      <c r="M57" s="239">
        <f>+M36/(M11+M13)</f>
        <v>3.4368845096702988E-2</v>
      </c>
    </row>
    <row r="58" spans="2:13" s="99" customFormat="1" ht="20.25" customHeight="1" x14ac:dyDescent="0.25">
      <c r="B58" s="215" t="s">
        <v>32</v>
      </c>
      <c r="C58" s="73">
        <f t="shared" ref="C58:E58" si="86">+C37/C14</f>
        <v>0.15800325581971403</v>
      </c>
      <c r="D58" s="73">
        <f t="shared" si="86"/>
        <v>1.645105278559774E-2</v>
      </c>
      <c r="E58" s="73">
        <f t="shared" si="86"/>
        <v>9.7461236134331383E-3</v>
      </c>
      <c r="F58" s="73">
        <f t="shared" ref="F58" si="87">+F37/F14</f>
        <v>1.0070924053039824E-2</v>
      </c>
      <c r="G58" s="73">
        <f t="shared" ref="G58" si="88">+G37/G14</f>
        <v>1.1490448807867655E-2</v>
      </c>
      <c r="H58" s="73">
        <f t="shared" ref="H58" si="89">+H37/H14</f>
        <v>1.1538421198313397E-2</v>
      </c>
      <c r="I58" s="73">
        <f t="shared" ref="I58" si="90">+I37/I14</f>
        <v>1.203868869997159E-2</v>
      </c>
      <c r="J58" s="73">
        <f t="shared" ref="J58" si="91">+J37/J14</f>
        <v>1.2564070786963656E-2</v>
      </c>
      <c r="K58" s="73">
        <f t="shared" ref="K58" si="92">+K37/K14</f>
        <v>1.3210498012167617E-2</v>
      </c>
      <c r="L58" s="243">
        <f t="shared" ref="L58:M58" si="93">+L37/L14</f>
        <v>7.3318108709664476E-3</v>
      </c>
      <c r="M58" s="240">
        <f t="shared" si="93"/>
        <v>7.7342428713024092E-3</v>
      </c>
    </row>
    <row r="59" spans="2:13" s="99" customFormat="1" ht="20.25" customHeight="1" x14ac:dyDescent="0.25">
      <c r="B59" s="215" t="s">
        <v>33</v>
      </c>
      <c r="C59" s="73">
        <f t="shared" ref="C59:E59" si="94">+C38/C15</f>
        <v>0.40398062417855929</v>
      </c>
      <c r="D59" s="73">
        <f t="shared" si="94"/>
        <v>0.20935982741799106</v>
      </c>
      <c r="E59" s="73">
        <f t="shared" si="94"/>
        <v>0.16964207154470634</v>
      </c>
      <c r="F59" s="73">
        <f t="shared" ref="F59" si="95">+F38/F15</f>
        <v>0.11179379834454845</v>
      </c>
      <c r="G59" s="73">
        <f t="shared" ref="G59" si="96">+G38/G15</f>
        <v>0.11923372981206877</v>
      </c>
      <c r="H59" s="73">
        <f t="shared" ref="H59" si="97">+H38/H15</f>
        <v>0.10731453661451865</v>
      </c>
      <c r="I59" s="73">
        <f t="shared" ref="I59" si="98">+I38/I15</f>
        <v>0.10516426249863746</v>
      </c>
      <c r="J59" s="73">
        <f t="shared" ref="J59" si="99">+J38/J15</f>
        <v>0.11260245007101902</v>
      </c>
      <c r="K59" s="73">
        <f t="shared" ref="K59" si="100">+K38/K15</f>
        <v>0.11223742464710711</v>
      </c>
      <c r="L59" s="243">
        <f t="shared" ref="L59:M59" si="101">+L38/L15</f>
        <v>6.6318332566348476E-2</v>
      </c>
      <c r="M59" s="240">
        <f t="shared" si="101"/>
        <v>6.944399960421864E-2</v>
      </c>
    </row>
    <row r="60" spans="2:13" s="99" customFormat="1" ht="20.25" customHeight="1" x14ac:dyDescent="0.25">
      <c r="B60" s="214" t="s">
        <v>402</v>
      </c>
      <c r="C60" s="65">
        <f t="shared" ref="C60:E60" si="102">+C39/C16</f>
        <v>0.21494702610221073</v>
      </c>
      <c r="D60" s="65">
        <f t="shared" si="102"/>
        <v>6.3159559060944934E-2</v>
      </c>
      <c r="E60" s="65">
        <f t="shared" si="102"/>
        <v>4.6924223101610478E-2</v>
      </c>
      <c r="F60" s="65">
        <f t="shared" ref="F60:F61" si="103">+F39/F16</f>
        <v>3.2141041306567683E-2</v>
      </c>
      <c r="G60" s="65">
        <f t="shared" ref="G60:H61" si="104">+G39/G16</f>
        <v>3.4960274773074021E-2</v>
      </c>
      <c r="H60" s="65">
        <f t="shared" ref="H60" si="105">+H39/H16</f>
        <v>3.2724488047332072E-2</v>
      </c>
      <c r="I60" s="65">
        <f t="shared" ref="I60" si="106">+I39/I16</f>
        <v>3.2750634207260383E-2</v>
      </c>
      <c r="J60" s="65">
        <f t="shared" ref="J60" si="107">+J39/J16</f>
        <v>3.4169000336404957E-2</v>
      </c>
      <c r="K60" s="65">
        <f t="shared" ref="K60" si="108">+K39/K16</f>
        <v>3.4726173439569213E-2</v>
      </c>
      <c r="L60" s="242">
        <f t="shared" ref="L60:M60" si="109">+L39/L16</f>
        <v>1.982636727404034E-2</v>
      </c>
      <c r="M60" s="239">
        <f t="shared" si="109"/>
        <v>2.1046705871477958E-2</v>
      </c>
    </row>
    <row r="61" spans="2:13" s="99" customFormat="1" ht="20.25" customHeight="1" x14ac:dyDescent="0.25">
      <c r="B61" s="214" t="s">
        <v>404</v>
      </c>
      <c r="C61" s="65">
        <f>+C40/C17</f>
        <v>0.21858387085025668</v>
      </c>
      <c r="D61" s="65">
        <f t="shared" ref="D61:E61" si="110">+D40/D17</f>
        <v>9.5194437593614914E-2</v>
      </c>
      <c r="E61" s="65">
        <f t="shared" si="110"/>
        <v>6.4799918630206038E-2</v>
      </c>
      <c r="F61" s="65">
        <f t="shared" si="103"/>
        <v>5.1396919864709074E-2</v>
      </c>
      <c r="G61" s="65">
        <f t="shared" si="104"/>
        <v>5.5992127536505738E-2</v>
      </c>
      <c r="H61" s="65">
        <f t="shared" si="104"/>
        <v>4.2349431363574656E-2</v>
      </c>
      <c r="I61" s="65">
        <f>+I40/I17</f>
        <v>4.3226521286548691E-2</v>
      </c>
      <c r="J61" s="65">
        <f>+J40/J17</f>
        <v>3.6846313239437212E-2</v>
      </c>
      <c r="K61" s="65">
        <f>+K40/K17</f>
        <v>3.6925308361770305E-2</v>
      </c>
      <c r="L61" s="242">
        <f>+L40/L17</f>
        <v>3.1469513181116723E-2</v>
      </c>
      <c r="M61" s="239">
        <f>+M40/M17</f>
        <v>3.1419682230563427E-2</v>
      </c>
    </row>
    <row r="62" spans="2:13" s="99" customFormat="1" ht="20.25" customHeight="1" x14ac:dyDescent="0.25">
      <c r="B62" s="214"/>
      <c r="C62" s="101"/>
      <c r="D62" s="101"/>
      <c r="E62" s="101"/>
      <c r="F62" s="315"/>
      <c r="G62" s="315"/>
      <c r="H62" s="315"/>
      <c r="I62" s="315"/>
      <c r="J62" s="315"/>
      <c r="K62" s="315"/>
      <c r="L62" s="237"/>
      <c r="M62" s="235"/>
    </row>
    <row r="63" spans="2:13" s="99" customFormat="1" ht="20.25" customHeight="1" x14ac:dyDescent="0.25">
      <c r="B63" s="213" t="s">
        <v>35</v>
      </c>
      <c r="C63" s="101"/>
      <c r="D63" s="101"/>
      <c r="E63" s="101"/>
      <c r="F63" s="315"/>
      <c r="G63" s="315"/>
      <c r="H63" s="315"/>
      <c r="I63" s="315"/>
      <c r="J63" s="315"/>
      <c r="K63" s="315"/>
      <c r="L63" s="237"/>
      <c r="M63" s="235"/>
    </row>
    <row r="64" spans="2:13" s="99" customFormat="1" ht="20.25" customHeight="1" x14ac:dyDescent="0.25">
      <c r="B64" s="214" t="s">
        <v>398</v>
      </c>
      <c r="C64" s="65">
        <f t="shared" ref="C64:F64" si="111">+C36/C20</f>
        <v>0.62298617899164699</v>
      </c>
      <c r="D64" s="65">
        <f t="shared" si="111"/>
        <v>0.58537335555469727</v>
      </c>
      <c r="E64" s="65">
        <f t="shared" si="111"/>
        <v>0.53710416814489004</v>
      </c>
      <c r="F64" s="65">
        <f t="shared" si="111"/>
        <v>0.58179505160122513</v>
      </c>
      <c r="G64" s="65">
        <f t="shared" ref="G64" si="112">+G36/G20</f>
        <v>0.61098656649375016</v>
      </c>
      <c r="H64" s="65">
        <f t="shared" ref="H64" si="113">+H36/H20</f>
        <v>0.71429748529920278</v>
      </c>
      <c r="I64" s="65">
        <f t="shared" ref="I64" si="114">+I36/I20</f>
        <v>0.77027607154359246</v>
      </c>
      <c r="J64" s="65">
        <f t="shared" ref="J64" si="115">+J36/J20</f>
        <v>0.85120279160402279</v>
      </c>
      <c r="K64" s="65">
        <f>+K36/K20</f>
        <v>0.89785811893451872</v>
      </c>
      <c r="L64" s="242">
        <f t="shared" ref="L64:M64" si="116">+L36/L20</f>
        <v>1.0152256858843154</v>
      </c>
      <c r="M64" s="239">
        <f t="shared" si="116"/>
        <v>0.95432019015052927</v>
      </c>
    </row>
    <row r="65" spans="2:13" s="99" customFormat="1" ht="20.25" customHeight="1" x14ac:dyDescent="0.25">
      <c r="B65" s="215" t="s">
        <v>32</v>
      </c>
      <c r="C65" s="73">
        <f t="shared" ref="C65:F65" si="117">+C37/C21</f>
        <v>0.45077422815379703</v>
      </c>
      <c r="D65" s="73">
        <f t="shared" si="117"/>
        <v>0.37085900862917548</v>
      </c>
      <c r="E65" s="73">
        <f t="shared" si="117"/>
        <v>0.38488936138792179</v>
      </c>
      <c r="F65" s="73">
        <f t="shared" si="117"/>
        <v>0.36975662540859755</v>
      </c>
      <c r="G65" s="73">
        <f t="shared" ref="G65" si="118">+G37/G21</f>
        <v>0.38196167799720182</v>
      </c>
      <c r="H65" s="73">
        <f t="shared" ref="H65" si="119">+H37/H21</f>
        <v>0.46110499967816665</v>
      </c>
      <c r="I65" s="73">
        <f t="shared" ref="I65" si="120">+I37/I21</f>
        <v>0.41056057043017169</v>
      </c>
      <c r="J65" s="73">
        <f t="shared" ref="J65" si="121">+J37/J21</f>
        <v>0.3799376624339228</v>
      </c>
      <c r="K65" s="73">
        <f t="shared" ref="K65" si="122">+K37/K21</f>
        <v>0.33887827498178447</v>
      </c>
      <c r="L65" s="243">
        <f t="shared" ref="L65:M65" si="123">+L37/L21</f>
        <v>0.36604881361558789</v>
      </c>
      <c r="M65" s="240">
        <f t="shared" si="123"/>
        <v>0.322886649434315</v>
      </c>
    </row>
    <row r="66" spans="2:13" s="99" customFormat="1" ht="20.25" customHeight="1" x14ac:dyDescent="0.25">
      <c r="B66" s="215" t="s">
        <v>33</v>
      </c>
      <c r="C66" s="73">
        <f t="shared" ref="C66:F66" si="124">+C38/C22</f>
        <v>0.80995032005882373</v>
      </c>
      <c r="D66" s="73">
        <f t="shared" si="124"/>
        <v>0.89122649961065814</v>
      </c>
      <c r="E66" s="73">
        <f t="shared" si="124"/>
        <v>1.0403336118006168</v>
      </c>
      <c r="F66" s="73">
        <f t="shared" si="124"/>
        <v>1.0184140388746152</v>
      </c>
      <c r="G66" s="73">
        <f t="shared" ref="G66" si="125">+G38/G22</f>
        <v>1.0168256516688996</v>
      </c>
      <c r="H66" s="73">
        <f t="shared" ref="H66" si="126">+H38/H22</f>
        <v>1.0389310340065745</v>
      </c>
      <c r="I66" s="73">
        <f t="shared" ref="I66" si="127">+I38/I22</f>
        <v>0.98403001020923053</v>
      </c>
      <c r="J66" s="73">
        <f t="shared" ref="J66" si="128">+J38/J22</f>
        <v>0.99259925176058739</v>
      </c>
      <c r="K66" s="73">
        <f t="shared" ref="K66" si="129">+K38/K22</f>
        <v>0.93727693992768202</v>
      </c>
      <c r="L66" s="243">
        <f t="shared" ref="L66:M66" si="130">+L38/L22</f>
        <v>1.2388984320059433</v>
      </c>
      <c r="M66" s="240">
        <f t="shared" si="130"/>
        <v>1.167656171505141</v>
      </c>
    </row>
    <row r="67" spans="2:13" s="99" customFormat="1" ht="20.25" customHeight="1" x14ac:dyDescent="0.25">
      <c r="B67" s="214" t="s">
        <v>402</v>
      </c>
      <c r="C67" s="65">
        <f t="shared" ref="C67:F67" si="131">+C39/C23</f>
        <v>0.55854081144173906</v>
      </c>
      <c r="D67" s="65">
        <f t="shared" si="131"/>
        <v>0.69791605947132951</v>
      </c>
      <c r="E67" s="65">
        <f t="shared" si="131"/>
        <v>0.81822005370306405</v>
      </c>
      <c r="F67" s="65">
        <f t="shared" si="131"/>
        <v>0.71196925728138372</v>
      </c>
      <c r="G67" s="65">
        <f t="shared" ref="G67" si="132">+G39/G23</f>
        <v>0.71241654277402089</v>
      </c>
      <c r="H67" s="65">
        <f t="shared" ref="H67" si="133">+H39/H23</f>
        <v>0.77295218509499697</v>
      </c>
      <c r="I67" s="65">
        <f t="shared" ref="I67" si="134">+I39/I23</f>
        <v>0.70325581557697747</v>
      </c>
      <c r="J67" s="65">
        <f t="shared" ref="J67" si="135">+J39/J23</f>
        <v>0.67759754743926226</v>
      </c>
      <c r="K67" s="65">
        <f t="shared" ref="K67" si="136">+K39/K23</f>
        <v>0.61428557480581014</v>
      </c>
      <c r="L67" s="242">
        <f t="shared" ref="L67:M67" si="137">+L39/L23</f>
        <v>0.73090742751676741</v>
      </c>
      <c r="M67" s="239">
        <f t="shared" si="137"/>
        <v>0.6656987979373562</v>
      </c>
    </row>
    <row r="68" spans="2:13" s="99" customFormat="1" ht="20.25" customHeight="1" x14ac:dyDescent="0.25">
      <c r="B68" s="214" t="s">
        <v>404</v>
      </c>
      <c r="C68" s="65">
        <f t="shared" ref="C68:F68" si="138">+C40/C24</f>
        <v>0.59848206302719131</v>
      </c>
      <c r="D68" s="65">
        <f t="shared" si="138"/>
        <v>0.60320327340463742</v>
      </c>
      <c r="E68" s="65">
        <f t="shared" si="138"/>
        <v>0.57485013525263262</v>
      </c>
      <c r="F68" s="65">
        <f t="shared" si="138"/>
        <v>0.59808167011555002</v>
      </c>
      <c r="G68" s="65">
        <f t="shared" ref="G68" si="139">+G40/G24</f>
        <v>0.62457878878261808</v>
      </c>
      <c r="H68" s="65">
        <f t="shared" ref="H68" si="140">+H40/H24</f>
        <v>0.7245931706320583</v>
      </c>
      <c r="I68" s="65">
        <f t="shared" ref="I68" si="141">+I40/I24</f>
        <v>0.75732951768657009</v>
      </c>
      <c r="J68" s="65">
        <f t="shared" ref="J68" si="142">+J40/J24</f>
        <v>0.80785124848846823</v>
      </c>
      <c r="K68" s="65">
        <f t="shared" ref="K68" si="143">+K40/K24</f>
        <v>0.81492363577086246</v>
      </c>
      <c r="L68" s="242">
        <f t="shared" ref="L68:M68" si="144">+L40/L24</f>
        <v>0.96248381918333903</v>
      </c>
      <c r="M68" s="239">
        <f t="shared" si="144"/>
        <v>0.89667127561454574</v>
      </c>
    </row>
    <row r="69" spans="2:13" s="99" customFormat="1" ht="20.25" customHeight="1" x14ac:dyDescent="0.25">
      <c r="B69" s="214"/>
      <c r="C69" s="59"/>
      <c r="D69" s="59"/>
      <c r="E69" s="59"/>
      <c r="F69" s="65"/>
      <c r="G69" s="65"/>
      <c r="H69" s="65"/>
      <c r="I69" s="65"/>
      <c r="J69" s="65"/>
      <c r="K69" s="65"/>
      <c r="L69" s="242"/>
      <c r="M69" s="239"/>
    </row>
    <row r="70" spans="2:13" s="99" customFormat="1" ht="20.25" customHeight="1" x14ac:dyDescent="0.25">
      <c r="B70" s="213" t="s">
        <v>55</v>
      </c>
      <c r="C70" s="101"/>
      <c r="D70" s="101"/>
      <c r="E70" s="101"/>
      <c r="F70" s="315"/>
      <c r="G70" s="315"/>
      <c r="H70" s="315"/>
      <c r="I70" s="315"/>
      <c r="J70" s="315"/>
      <c r="K70" s="315"/>
      <c r="L70" s="237"/>
      <c r="M70" s="235"/>
    </row>
    <row r="71" spans="2:13" s="99" customFormat="1" ht="20.25" customHeight="1" x14ac:dyDescent="0.25">
      <c r="B71" s="214" t="s">
        <v>398</v>
      </c>
      <c r="C71" s="65">
        <f t="shared" ref="C71:E71" si="145">+C36/C27</f>
        <v>0.47611121289847685</v>
      </c>
      <c r="D71" s="65">
        <f t="shared" si="145"/>
        <v>0.38385451212230159</v>
      </c>
      <c r="E71" s="65">
        <f t="shared" si="145"/>
        <v>0.37365817410722851</v>
      </c>
      <c r="F71" s="65">
        <f t="shared" ref="F71" si="146">+F36/F27</f>
        <v>0.40949405310383069</v>
      </c>
      <c r="G71" s="65">
        <f t="shared" ref="G71" si="147">+G36/G27</f>
        <v>0.44350143621427179</v>
      </c>
      <c r="H71" s="65">
        <f t="shared" ref="H71" si="148">+H36/H27</f>
        <v>0.4527211705760657</v>
      </c>
      <c r="I71" s="65">
        <f t="shared" ref="I71" si="149">+I36/I27</f>
        <v>0.49584390071399198</v>
      </c>
      <c r="J71" s="65">
        <f t="shared" ref="J71" si="150">+J36/J27</f>
        <v>0.57479045199875778</v>
      </c>
      <c r="K71" s="65">
        <f t="shared" ref="K71" si="151">+K36/K27</f>
        <v>0.59750908496153954</v>
      </c>
      <c r="L71" s="242">
        <f t="shared" ref="L71:M71" si="152">+L36/L27</f>
        <v>0.60227309830617393</v>
      </c>
      <c r="M71" s="239">
        <f t="shared" si="152"/>
        <v>0.61420908564604215</v>
      </c>
    </row>
    <row r="72" spans="2:13" s="99" customFormat="1" ht="20.25" customHeight="1" x14ac:dyDescent="0.25">
      <c r="B72" s="215" t="s">
        <v>32</v>
      </c>
      <c r="C72" s="73">
        <f t="shared" ref="C72:F72" si="153">+C37/C28</f>
        <v>0.36519226362967144</v>
      </c>
      <c r="D72" s="73">
        <f t="shared" si="153"/>
        <v>0.14815325904669663</v>
      </c>
      <c r="E72" s="73">
        <f t="shared" si="153"/>
        <v>0.13556029262545224</v>
      </c>
      <c r="F72" s="73">
        <f t="shared" si="153"/>
        <v>0.14681797526619814</v>
      </c>
      <c r="G72" s="73">
        <f t="shared" ref="G72" si="154">+G37/G28</f>
        <v>0.18297389111079024</v>
      </c>
      <c r="H72" s="73">
        <f t="shared" ref="H72" si="155">+H37/H28</f>
        <v>0.22839732381218475</v>
      </c>
      <c r="I72" s="73">
        <f t="shared" ref="I72" si="156">+I37/I28</f>
        <v>0.22606304578571906</v>
      </c>
      <c r="J72" s="73">
        <f t="shared" ref="J72" si="157">+J37/J28</f>
        <v>0.22231808933460245</v>
      </c>
      <c r="K72" s="73">
        <f t="shared" ref="K72" si="158">+K37/K28</f>
        <v>0.22459888372891854</v>
      </c>
      <c r="L72" s="243">
        <f t="shared" ref="L72:M72" si="159">+L37/L28</f>
        <v>0.185966047733021</v>
      </c>
      <c r="M72" s="240">
        <f t="shared" si="159"/>
        <v>0.1794955433666775</v>
      </c>
    </row>
    <row r="73" spans="2:13" s="99" customFormat="1" ht="20.25" customHeight="1" x14ac:dyDescent="0.25">
      <c r="B73" s="215" t="s">
        <v>33</v>
      </c>
      <c r="C73" s="73">
        <f t="shared" ref="C73:F73" si="160">+C38/C29</f>
        <v>0.73821846524518109</v>
      </c>
      <c r="D73" s="73">
        <f t="shared" si="160"/>
        <v>0.72784906346719347</v>
      </c>
      <c r="E73" s="73">
        <f t="shared" si="160"/>
        <v>0.8379758780245159</v>
      </c>
      <c r="F73" s="73">
        <f t="shared" si="160"/>
        <v>0.74225113017252831</v>
      </c>
      <c r="G73" s="73">
        <f t="shared" ref="G73" si="161">+G38/G29</f>
        <v>0.7853153839999979</v>
      </c>
      <c r="H73" s="73">
        <f t="shared" ref="H73" si="162">+H38/H29</f>
        <v>0.8225221005707507</v>
      </c>
      <c r="I73" s="73">
        <f t="shared" ref="I73" si="163">+I38/I29</f>
        <v>0.79519721419184253</v>
      </c>
      <c r="J73" s="73">
        <f t="shared" ref="J73" si="164">+J38/J29</f>
        <v>0.80002267078521772</v>
      </c>
      <c r="K73" s="73">
        <f t="shared" ref="K73" si="165">+K38/K29</f>
        <v>0.77920721914724744</v>
      </c>
      <c r="L73" s="243">
        <f t="shared" ref="L73:M73" si="166">+L38/L29</f>
        <v>0.88566693506139604</v>
      </c>
      <c r="M73" s="240">
        <f t="shared" si="166"/>
        <v>0.87488442836229097</v>
      </c>
    </row>
    <row r="74" spans="2:13" s="99" customFormat="1" ht="20.25" customHeight="1" x14ac:dyDescent="0.25">
      <c r="B74" s="214" t="s">
        <v>402</v>
      </c>
      <c r="C74" s="65">
        <f t="shared" ref="C74:F74" si="167">+C39/C30</f>
        <v>0.46810765807516314</v>
      </c>
      <c r="D74" s="65">
        <f t="shared" si="167"/>
        <v>0.41065837651736875</v>
      </c>
      <c r="E74" s="65">
        <f t="shared" si="167"/>
        <v>0.45891976595664852</v>
      </c>
      <c r="F74" s="65">
        <f t="shared" si="167"/>
        <v>0.37204618917675419</v>
      </c>
      <c r="G74" s="65">
        <f t="shared" ref="G74" si="168">+G39/G30</f>
        <v>0.42534905135103496</v>
      </c>
      <c r="H74" s="65">
        <f t="shared" ref="H74" si="169">+H39/H30</f>
        <v>0.47979908639241575</v>
      </c>
      <c r="I74" s="65">
        <f t="shared" ref="I74" si="170">+I39/I30</f>
        <v>0.46242938874605632</v>
      </c>
      <c r="J74" s="65">
        <f t="shared" ref="J74" si="171">+J39/J30</f>
        <v>0.45738022313923504</v>
      </c>
      <c r="K74" s="65">
        <f t="shared" ref="K74" si="172">+K39/K30</f>
        <v>0.44903843017125794</v>
      </c>
      <c r="L74" s="242">
        <f t="shared" ref="L74:M74" si="173">+L39/L30</f>
        <v>0.42241801340405249</v>
      </c>
      <c r="M74" s="239">
        <f t="shared" si="173"/>
        <v>0.41335560808653521</v>
      </c>
    </row>
    <row r="75" spans="2:13" s="99" customFormat="1" ht="20.25" customHeight="1" x14ac:dyDescent="0.25">
      <c r="B75" s="214" t="s">
        <v>404</v>
      </c>
      <c r="C75" s="65">
        <f t="shared" ref="C75:E75" si="174">+C40/C31</f>
        <v>0.47323997151708019</v>
      </c>
      <c r="D75" s="65">
        <f t="shared" si="174"/>
        <v>0.38850268475948907</v>
      </c>
      <c r="E75" s="65">
        <f t="shared" si="174"/>
        <v>0.38741419587854542</v>
      </c>
      <c r="F75" s="65">
        <f t="shared" ref="F75:J75" si="175">+F40/F31</f>
        <v>0.4034459074654102</v>
      </c>
      <c r="G75" s="65">
        <f t="shared" si="175"/>
        <v>0.44062714754968568</v>
      </c>
      <c r="H75" s="65">
        <f t="shared" si="175"/>
        <v>0.45755633477135438</v>
      </c>
      <c r="I75" s="65">
        <f t="shared" si="175"/>
        <v>0.4894990977566176</v>
      </c>
      <c r="J75" s="65">
        <f t="shared" si="175"/>
        <v>0.54546289345522114</v>
      </c>
      <c r="K75" s="65">
        <f t="shared" ref="K75" si="176">+K40/K31</f>
        <v>0.55691433458423933</v>
      </c>
      <c r="L75" s="242">
        <f t="shared" ref="L75:M75" si="177">+L40/L31</f>
        <v>0.56819336897542161</v>
      </c>
      <c r="M75" s="239">
        <f t="shared" si="177"/>
        <v>0.57292697228391176</v>
      </c>
    </row>
    <row r="76" spans="2:13" s="99" customFormat="1" ht="20.25" customHeight="1" x14ac:dyDescent="0.25">
      <c r="B76" s="216"/>
      <c r="C76" s="134"/>
      <c r="D76" s="134"/>
      <c r="E76" s="134"/>
      <c r="F76" s="316"/>
      <c r="G76" s="316"/>
      <c r="H76" s="316"/>
      <c r="I76" s="316"/>
      <c r="J76" s="764"/>
      <c r="K76" s="764"/>
      <c r="L76" s="765"/>
      <c r="M76" s="241"/>
    </row>
    <row r="77" spans="2:13" s="107" customFormat="1" ht="11.25" customHeight="1" x14ac:dyDescent="0.25">
      <c r="B77" s="217"/>
    </row>
    <row r="78" spans="2:13" s="72" customFormat="1" ht="20.25" customHeight="1" x14ac:dyDescent="0.2">
      <c r="B78" s="628" t="s">
        <v>260</v>
      </c>
    </row>
    <row r="79" spans="2:13" ht="21" customHeight="1" x14ac:dyDescent="0.2">
      <c r="B79" s="255"/>
    </row>
    <row r="80" spans="2:13" ht="21" customHeight="1" x14ac:dyDescent="0.2">
      <c r="B80" s="254"/>
    </row>
  </sheetData>
  <mergeCells count="1">
    <mergeCell ref="B5:M5"/>
  </mergeCells>
  <hyperlinks>
    <hyperlink ref="M2" location="'Cover '!A1" display="Back to Cover" xr:uid="{00000000-0004-0000-0500-000000000000}"/>
  </hyperlinks>
  <printOptions horizontalCentered="1" verticalCentered="1"/>
  <pageMargins left="0" right="0" top="0" bottom="0" header="0" footer="0"/>
  <pageSetup paperSize="8" scale="65" orientation="portrait" r:id="rId1"/>
  <headerFooter alignWithMargins="0"/>
  <ignoredErrors>
    <ignoredError sqref="H16 F17 E23 F30 F43 F57"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4A19-A266-4852-887B-A53652914792}">
  <dimension ref="A1:U45"/>
  <sheetViews>
    <sheetView showGridLines="0" view="pageBreakPreview" zoomScale="80" zoomScaleNormal="90" zoomScaleSheetLayoutView="80" workbookViewId="0">
      <selection activeCell="M10" sqref="M10"/>
    </sheetView>
  </sheetViews>
  <sheetFormatPr defaultColWidth="9.140625" defaultRowHeight="15" customHeight="1" x14ac:dyDescent="0.35"/>
  <cols>
    <col min="1" max="1" width="2.42578125" style="91" customWidth="1"/>
    <col min="2" max="2" width="46.28515625" style="91" customWidth="1"/>
    <col min="3" max="13" width="14.5703125" style="92" customWidth="1"/>
    <col min="14" max="14" width="2.42578125" style="91" customWidth="1"/>
    <col min="15" max="15" width="9.140625" style="91"/>
    <col min="16" max="16" width="9.140625" style="900"/>
    <col min="17" max="17" width="11.28515625" style="91" bestFit="1" customWidth="1"/>
    <col min="18" max="16384" width="9.140625" style="91"/>
  </cols>
  <sheetData>
    <row r="1" spans="1:18" s="94" customFormat="1" ht="15.75" customHeight="1" x14ac:dyDescent="0.35">
      <c r="P1" s="898"/>
    </row>
    <row r="2" spans="1:18" s="94" customFormat="1" ht="15.75" customHeight="1" x14ac:dyDescent="0.35">
      <c r="C2" s="7"/>
      <c r="D2" s="7"/>
      <c r="E2" s="7"/>
      <c r="F2" s="7"/>
      <c r="G2" s="7"/>
      <c r="H2" s="7"/>
      <c r="I2" s="7"/>
      <c r="J2" s="7"/>
      <c r="K2" s="7"/>
      <c r="L2" s="7"/>
      <c r="M2" s="7" t="s">
        <v>21</v>
      </c>
      <c r="P2" s="898"/>
    </row>
    <row r="3" spans="1:18" s="94" customFormat="1" ht="15.75" customHeight="1" x14ac:dyDescent="0.35">
      <c r="P3" s="898"/>
    </row>
    <row r="4" spans="1:18" s="95" customFormat="1" ht="15.75" customHeight="1" x14ac:dyDescent="0.35">
      <c r="P4" s="899"/>
    </row>
    <row r="5" spans="1:18" ht="26.25" x14ac:dyDescent="0.35">
      <c r="A5" s="74"/>
      <c r="B5" s="958" t="s">
        <v>156</v>
      </c>
      <c r="C5" s="958"/>
      <c r="D5" s="958"/>
      <c r="E5" s="958"/>
      <c r="F5" s="958"/>
      <c r="G5" s="958"/>
      <c r="H5" s="958"/>
      <c r="I5" s="958"/>
      <c r="J5" s="958"/>
      <c r="K5" s="958"/>
      <c r="L5" s="958"/>
      <c r="M5" s="958"/>
    </row>
    <row r="6" spans="1:18" s="82" customFormat="1" ht="9" customHeight="1" x14ac:dyDescent="0.35">
      <c r="A6" s="74"/>
      <c r="B6" s="76"/>
      <c r="C6" s="76"/>
      <c r="D6" s="76"/>
      <c r="E6" s="76"/>
      <c r="F6" s="76"/>
      <c r="G6" s="76"/>
      <c r="H6" s="76"/>
      <c r="I6" s="76"/>
      <c r="J6" s="76"/>
      <c r="K6" s="76"/>
      <c r="L6" s="76"/>
      <c r="M6" s="76"/>
      <c r="P6" s="901"/>
    </row>
    <row r="7" spans="1:18" s="82" customFormat="1" ht="11.25" customHeight="1" x14ac:dyDescent="0.35">
      <c r="A7" s="78"/>
      <c r="B7" s="83"/>
      <c r="C7" s="83"/>
      <c r="D7" s="83"/>
      <c r="E7" s="83"/>
      <c r="F7" s="83"/>
      <c r="G7" s="83"/>
      <c r="H7" s="83"/>
      <c r="I7" s="83"/>
      <c r="J7" s="83"/>
      <c r="K7" s="83"/>
      <c r="L7" s="83"/>
      <c r="M7" s="83"/>
      <c r="P7" s="901"/>
    </row>
    <row r="8" spans="1:18" s="96" customFormat="1" ht="11.25" customHeight="1" x14ac:dyDescent="0.35">
      <c r="C8" s="97"/>
      <c r="D8" s="97"/>
      <c r="E8" s="97"/>
      <c r="F8" s="97"/>
      <c r="G8" s="97"/>
      <c r="H8" s="97"/>
      <c r="I8" s="97"/>
      <c r="J8" s="97"/>
      <c r="K8" s="97"/>
      <c r="L8" s="97"/>
      <c r="M8" s="97"/>
      <c r="P8" s="902"/>
    </row>
    <row r="9" spans="1:18" s="98" customFormat="1" ht="22.5" customHeight="1" x14ac:dyDescent="0.35">
      <c r="B9" s="168" t="s">
        <v>135</v>
      </c>
      <c r="C9" s="133">
        <v>44286</v>
      </c>
      <c r="D9" s="133">
        <v>44377</v>
      </c>
      <c r="E9" s="133">
        <v>44469</v>
      </c>
      <c r="F9" s="314">
        <v>44561</v>
      </c>
      <c r="G9" s="314">
        <v>44651</v>
      </c>
      <c r="H9" s="133">
        <v>44742</v>
      </c>
      <c r="I9" s="314">
        <v>44834</v>
      </c>
      <c r="J9" s="314">
        <v>44926</v>
      </c>
      <c r="K9" s="314">
        <v>45016</v>
      </c>
      <c r="L9" s="317">
        <v>45107</v>
      </c>
      <c r="M9" s="227">
        <v>45199</v>
      </c>
      <c r="P9" s="903"/>
    </row>
    <row r="10" spans="1:18" s="99" customFormat="1" ht="22.5" customHeight="1" x14ac:dyDescent="0.35">
      <c r="B10" s="213" t="s">
        <v>406</v>
      </c>
      <c r="C10" s="101">
        <v>30574.867193419999</v>
      </c>
      <c r="D10" s="101">
        <v>26483.12976639</v>
      </c>
      <c r="E10" s="101">
        <v>26260.78426991</v>
      </c>
      <c r="F10" s="315">
        <v>29303.281210160003</v>
      </c>
      <c r="G10" s="315">
        <v>27969.930113500002</v>
      </c>
      <c r="H10" s="315">
        <v>27955.28298887</v>
      </c>
      <c r="I10" s="315">
        <v>28703.22038631</v>
      </c>
      <c r="J10" s="315">
        <v>30012.87820101</v>
      </c>
      <c r="K10" s="315">
        <v>28129.292289959998</v>
      </c>
      <c r="L10" s="237">
        <v>28654.617957729999</v>
      </c>
      <c r="M10" s="235">
        <v>28978.402439199999</v>
      </c>
      <c r="P10" s="904"/>
      <c r="Q10" s="726"/>
      <c r="R10" s="727"/>
    </row>
    <row r="11" spans="1:18" s="99" customFormat="1" ht="22.5" customHeight="1" x14ac:dyDescent="0.35">
      <c r="B11" s="215" t="s">
        <v>124</v>
      </c>
      <c r="C11" s="103">
        <v>13658.869961320001</v>
      </c>
      <c r="D11" s="103">
        <v>16487.228973649999</v>
      </c>
      <c r="E11" s="103">
        <v>18552.00443778</v>
      </c>
      <c r="F11" s="302">
        <v>22201.707126990001</v>
      </c>
      <c r="G11" s="302">
        <v>21010.985513720003</v>
      </c>
      <c r="H11" s="302">
        <v>22625.14255095</v>
      </c>
      <c r="I11" s="302">
        <v>23610.51993015</v>
      </c>
      <c r="J11" s="302">
        <v>26169.175918290002</v>
      </c>
      <c r="K11" s="302">
        <v>24426.348223639998</v>
      </c>
      <c r="L11" s="238">
        <v>25064.457715209999</v>
      </c>
      <c r="M11" s="236">
        <v>25731.94263455</v>
      </c>
      <c r="P11" s="904"/>
    </row>
    <row r="12" spans="1:18" s="99" customFormat="1" ht="22.5" customHeight="1" x14ac:dyDescent="0.35">
      <c r="B12" s="215" t="s">
        <v>125</v>
      </c>
      <c r="C12" s="103">
        <v>2549.9567539999998</v>
      </c>
      <c r="D12" s="103">
        <v>2377.7196176900002</v>
      </c>
      <c r="E12" s="103">
        <v>2579.1212082400002</v>
      </c>
      <c r="F12" s="302">
        <v>2855.1322900100004</v>
      </c>
      <c r="G12" s="302">
        <v>2844.3308835600001</v>
      </c>
      <c r="H12" s="302">
        <v>2398.0107179699999</v>
      </c>
      <c r="I12" s="302">
        <v>2281.2837903099999</v>
      </c>
      <c r="J12" s="302">
        <v>1756.8015337899999</v>
      </c>
      <c r="K12" s="302">
        <v>1814.3409599000001</v>
      </c>
      <c r="L12" s="238">
        <v>1817.3229582000001</v>
      </c>
      <c r="M12" s="236">
        <v>1533.9733158299998</v>
      </c>
      <c r="P12" s="905"/>
    </row>
    <row r="13" spans="1:18" s="99" customFormat="1" ht="22.5" customHeight="1" x14ac:dyDescent="0.35">
      <c r="B13" s="219" t="s">
        <v>136</v>
      </c>
      <c r="C13" s="103">
        <v>14366.040478090001</v>
      </c>
      <c r="D13" s="103">
        <v>7618.1811750500001</v>
      </c>
      <c r="E13" s="103">
        <v>5129.6586238899999</v>
      </c>
      <c r="F13" s="302">
        <v>4246.4417931600001</v>
      </c>
      <c r="G13" s="302">
        <v>4114.6137162200002</v>
      </c>
      <c r="H13" s="302">
        <v>2932.12971995</v>
      </c>
      <c r="I13" s="302">
        <v>2811.4166658499998</v>
      </c>
      <c r="J13" s="302">
        <v>2086.9007489300002</v>
      </c>
      <c r="K13" s="302">
        <v>1888.6031064200001</v>
      </c>
      <c r="L13" s="238">
        <v>1772.83728432</v>
      </c>
      <c r="M13" s="236">
        <v>1712.4864888200002</v>
      </c>
      <c r="P13" s="904"/>
    </row>
    <row r="14" spans="1:18" s="99" customFormat="1" ht="22.5" customHeight="1" x14ac:dyDescent="0.35">
      <c r="B14" s="213" t="s">
        <v>137</v>
      </c>
      <c r="C14" s="101">
        <v>13301.64005973</v>
      </c>
      <c r="D14" s="101">
        <v>7697.0326199499996</v>
      </c>
      <c r="E14" s="101">
        <v>7248.3474055199995</v>
      </c>
      <c r="F14" s="315">
        <v>7194.9672382700001</v>
      </c>
      <c r="G14" s="315">
        <v>7114.7161194300006</v>
      </c>
      <c r="H14" s="315">
        <v>6984.7145553099999</v>
      </c>
      <c r="I14" s="315">
        <v>6944.8073204000002</v>
      </c>
      <c r="J14" s="315">
        <v>6879.4438452100003</v>
      </c>
      <c r="K14" s="315">
        <v>6756.4819082599997</v>
      </c>
      <c r="L14" s="237">
        <v>6518.34613446</v>
      </c>
      <c r="M14" s="235">
        <v>6475.3956019699999</v>
      </c>
      <c r="P14" s="904"/>
    </row>
    <row r="15" spans="1:18" s="99" customFormat="1" ht="22.5" customHeight="1" x14ac:dyDescent="0.35">
      <c r="B15" s="215" t="s">
        <v>124</v>
      </c>
      <c r="C15" s="103">
        <v>5107.9546250800004</v>
      </c>
      <c r="D15" s="103">
        <v>4991.0852001599997</v>
      </c>
      <c r="E15" s="103">
        <v>4764.5283670099998</v>
      </c>
      <c r="F15" s="302">
        <v>4646.7009396700005</v>
      </c>
      <c r="G15" s="302">
        <v>4484.1047358000005</v>
      </c>
      <c r="H15" s="302">
        <v>4424.6464673700002</v>
      </c>
      <c r="I15" s="302">
        <v>4515.0083898900002</v>
      </c>
      <c r="J15" s="302">
        <v>4551.4195924800006</v>
      </c>
      <c r="K15" s="302">
        <v>4494.7538112299999</v>
      </c>
      <c r="L15" s="238">
        <v>4455.5179153199997</v>
      </c>
      <c r="M15" s="236">
        <v>4424.7336493299999</v>
      </c>
      <c r="P15" s="904"/>
    </row>
    <row r="16" spans="1:18" s="99" customFormat="1" ht="22.5" customHeight="1" x14ac:dyDescent="0.35">
      <c r="B16" s="215" t="s">
        <v>125</v>
      </c>
      <c r="C16" s="103">
        <v>2105.2478625200001</v>
      </c>
      <c r="D16" s="103">
        <v>1592.2885055900001</v>
      </c>
      <c r="E16" s="103">
        <v>1716.31916761</v>
      </c>
      <c r="F16" s="302">
        <v>1803.2484260699998</v>
      </c>
      <c r="G16" s="302">
        <v>1922.78016357</v>
      </c>
      <c r="H16" s="302">
        <v>1944.7143063399999</v>
      </c>
      <c r="I16" s="302">
        <v>1798.8688525799998</v>
      </c>
      <c r="J16" s="302">
        <v>1677.2194352500001</v>
      </c>
      <c r="K16" s="302">
        <v>1600.5626412199999</v>
      </c>
      <c r="L16" s="238">
        <v>1544.21900231</v>
      </c>
      <c r="M16" s="236">
        <v>1513.8301326800001</v>
      </c>
      <c r="P16" s="904"/>
    </row>
    <row r="17" spans="2:21" s="99" customFormat="1" ht="22.5" customHeight="1" x14ac:dyDescent="0.35">
      <c r="B17" s="219" t="s">
        <v>136</v>
      </c>
      <c r="C17" s="103">
        <v>6088.4375721399992</v>
      </c>
      <c r="D17" s="103">
        <v>1113.6589142</v>
      </c>
      <c r="E17" s="103">
        <v>767.49987090000002</v>
      </c>
      <c r="F17" s="302">
        <v>745.01787252999998</v>
      </c>
      <c r="G17" s="302">
        <v>707.83122005999996</v>
      </c>
      <c r="H17" s="302">
        <v>615.35378160000005</v>
      </c>
      <c r="I17" s="302">
        <v>630.93007793000004</v>
      </c>
      <c r="J17" s="302">
        <v>650.80481748</v>
      </c>
      <c r="K17" s="302">
        <v>661.16545580999991</v>
      </c>
      <c r="L17" s="238">
        <v>518.60921683000004</v>
      </c>
      <c r="M17" s="236">
        <v>536.83181996000008</v>
      </c>
      <c r="P17" s="904"/>
    </row>
    <row r="18" spans="2:21" s="99" customFormat="1" ht="22.5" customHeight="1" x14ac:dyDescent="0.35">
      <c r="B18" s="213" t="s">
        <v>159</v>
      </c>
      <c r="C18" s="101">
        <v>4007.02303295</v>
      </c>
      <c r="D18" s="101">
        <v>2459.1639197099998</v>
      </c>
      <c r="E18" s="101">
        <v>2195.99140003</v>
      </c>
      <c r="F18" s="315">
        <v>1993.6316240800002</v>
      </c>
      <c r="G18" s="315">
        <v>1981.47694159</v>
      </c>
      <c r="H18" s="315">
        <v>1983.9500895000001</v>
      </c>
      <c r="I18" s="315">
        <v>1986.43028542</v>
      </c>
      <c r="J18" s="315">
        <v>1895.03597225</v>
      </c>
      <c r="K18" s="315">
        <v>1875.52845314</v>
      </c>
      <c r="L18" s="237">
        <v>1751.83663368</v>
      </c>
      <c r="M18" s="235">
        <v>1781.2178743100001</v>
      </c>
      <c r="P18" s="904"/>
    </row>
    <row r="19" spans="2:21" s="99" customFormat="1" ht="22.5" customHeight="1" x14ac:dyDescent="0.35">
      <c r="B19" s="215" t="s">
        <v>124</v>
      </c>
      <c r="C19" s="103">
        <v>1217.3243974899999</v>
      </c>
      <c r="D19" s="103">
        <v>1261.0856666899999</v>
      </c>
      <c r="E19" s="103">
        <v>1163.3394059100001</v>
      </c>
      <c r="F19" s="302">
        <v>1158.9649979000001</v>
      </c>
      <c r="G19" s="302">
        <v>1153.8507397000001</v>
      </c>
      <c r="H19" s="302">
        <v>1204.8619434700001</v>
      </c>
      <c r="I19" s="302">
        <v>1263.9516938700001</v>
      </c>
      <c r="J19" s="302">
        <v>1211.5374633700001</v>
      </c>
      <c r="K19" s="302">
        <v>1207.80175927</v>
      </c>
      <c r="L19" s="238">
        <v>1243.88013501</v>
      </c>
      <c r="M19" s="236">
        <v>1276.21293466</v>
      </c>
      <c r="P19" s="904"/>
    </row>
    <row r="20" spans="2:21" s="99" customFormat="1" ht="22.5" customHeight="1" x14ac:dyDescent="0.35">
      <c r="B20" s="215" t="s">
        <v>125</v>
      </c>
      <c r="C20" s="103">
        <v>510.73894987</v>
      </c>
      <c r="D20" s="103">
        <v>416.08600801</v>
      </c>
      <c r="E20" s="103">
        <v>518.67961664999996</v>
      </c>
      <c r="F20" s="302">
        <v>467.39470384000003</v>
      </c>
      <c r="G20" s="302">
        <v>461.70227822999999</v>
      </c>
      <c r="H20" s="302">
        <v>456.22418359</v>
      </c>
      <c r="I20" s="302">
        <v>397.68186606999996</v>
      </c>
      <c r="J20" s="302">
        <v>362.67253324000001</v>
      </c>
      <c r="K20" s="302">
        <v>344.71123091999999</v>
      </c>
      <c r="L20" s="238">
        <v>325.81061890000001</v>
      </c>
      <c r="M20" s="236">
        <v>314.12507239000001</v>
      </c>
      <c r="P20" s="904"/>
    </row>
    <row r="21" spans="2:21" s="99" customFormat="1" ht="22.5" customHeight="1" x14ac:dyDescent="0.35">
      <c r="B21" s="219" t="s">
        <v>136</v>
      </c>
      <c r="C21" s="103">
        <v>2278.9596856000003</v>
      </c>
      <c r="D21" s="103">
        <v>781.99224599000001</v>
      </c>
      <c r="E21" s="103">
        <v>513.97237747000008</v>
      </c>
      <c r="F21" s="302">
        <v>367.27192234</v>
      </c>
      <c r="G21" s="302">
        <v>365.92392366000001</v>
      </c>
      <c r="H21" s="302">
        <v>322.86396243999997</v>
      </c>
      <c r="I21" s="302">
        <v>324.79672548000002</v>
      </c>
      <c r="J21" s="302">
        <v>320.82597564000002</v>
      </c>
      <c r="K21" s="302">
        <v>323.01546295000003</v>
      </c>
      <c r="L21" s="238">
        <v>182.14587977000002</v>
      </c>
      <c r="M21" s="236">
        <v>190.87986726</v>
      </c>
      <c r="P21" s="904"/>
    </row>
    <row r="22" spans="2:21" s="99" customFormat="1" ht="22.5" customHeight="1" x14ac:dyDescent="0.35">
      <c r="B22" s="213" t="s">
        <v>138</v>
      </c>
      <c r="C22" s="101">
        <v>47883.530286110006</v>
      </c>
      <c r="D22" s="101">
        <v>36639.326307030002</v>
      </c>
      <c r="E22" s="101">
        <v>35705.123075460004</v>
      </c>
      <c r="F22" s="315">
        <v>38491.880072500004</v>
      </c>
      <c r="G22" s="315">
        <v>37066.123174519998</v>
      </c>
      <c r="H22" s="315">
        <v>36923.947633669995</v>
      </c>
      <c r="I22" s="315">
        <v>37634.45799214</v>
      </c>
      <c r="J22" s="315">
        <v>38787.358018450002</v>
      </c>
      <c r="K22" s="315">
        <v>36761.302651340004</v>
      </c>
      <c r="L22" s="237">
        <v>36924.800725870002</v>
      </c>
      <c r="M22" s="235">
        <v>37235.0159155</v>
      </c>
      <c r="P22" s="904"/>
      <c r="Q22" s="728"/>
      <c r="S22" s="729"/>
      <c r="U22" s="525"/>
    </row>
    <row r="23" spans="2:21" s="99" customFormat="1" ht="22.5" customHeight="1" x14ac:dyDescent="0.35">
      <c r="B23" s="215" t="s">
        <v>124</v>
      </c>
      <c r="C23" s="103">
        <v>19984.148983890005</v>
      </c>
      <c r="D23" s="103">
        <v>22739.399840499998</v>
      </c>
      <c r="E23" s="103">
        <v>24479.872210699999</v>
      </c>
      <c r="F23" s="302">
        <v>28007.373064560001</v>
      </c>
      <c r="G23" s="302">
        <v>26648.940989220002</v>
      </c>
      <c r="H23" s="302">
        <v>28254.650961790001</v>
      </c>
      <c r="I23" s="302">
        <v>29389.480013910001</v>
      </c>
      <c r="J23" s="302">
        <v>31932.13297413</v>
      </c>
      <c r="K23" s="302">
        <v>30128.903794139998</v>
      </c>
      <c r="L23" s="238">
        <v>30763.85576554</v>
      </c>
      <c r="M23" s="236">
        <v>31432.889218550001</v>
      </c>
      <c r="P23" s="905"/>
      <c r="Q23" s="728"/>
      <c r="S23" s="729"/>
      <c r="U23" s="525"/>
    </row>
    <row r="24" spans="2:21" s="99" customFormat="1" ht="22.5" customHeight="1" x14ac:dyDescent="0.35">
      <c r="B24" s="215" t="s">
        <v>125</v>
      </c>
      <c r="C24" s="103">
        <v>5165.9435663899994</v>
      </c>
      <c r="D24" s="103">
        <v>4386.0941312899995</v>
      </c>
      <c r="E24" s="103">
        <v>4814.1199925000001</v>
      </c>
      <c r="F24" s="302">
        <v>5125.77541991</v>
      </c>
      <c r="G24" s="302">
        <v>5228.8133253599999</v>
      </c>
      <c r="H24" s="302">
        <v>4798.9492078900003</v>
      </c>
      <c r="I24" s="302">
        <v>4477.8345089599998</v>
      </c>
      <c r="J24" s="302">
        <v>3796.6935022800003</v>
      </c>
      <c r="K24" s="302">
        <v>3759.6148320300003</v>
      </c>
      <c r="L24" s="238">
        <v>3687.35257942</v>
      </c>
      <c r="M24" s="236">
        <v>3361.9285209099999</v>
      </c>
      <c r="N24" s="433"/>
      <c r="P24" s="904"/>
      <c r="Q24" s="729"/>
      <c r="S24" s="729"/>
      <c r="U24" s="525"/>
    </row>
    <row r="25" spans="2:21" s="99" customFormat="1" ht="22.5" customHeight="1" x14ac:dyDescent="0.35">
      <c r="B25" s="290" t="s">
        <v>136</v>
      </c>
      <c r="C25" s="291">
        <v>22733.437735830001</v>
      </c>
      <c r="D25" s="291">
        <v>9513.8323352400002</v>
      </c>
      <c r="E25" s="291">
        <v>6411.1308722600006</v>
      </c>
      <c r="F25" s="318">
        <v>5358.7315880299993</v>
      </c>
      <c r="G25" s="318">
        <v>5188.3688599399993</v>
      </c>
      <c r="H25" s="318">
        <v>3870.3474639900001</v>
      </c>
      <c r="I25" s="318">
        <v>3767.1434692700004</v>
      </c>
      <c r="J25" s="759">
        <v>3058.5315420399997</v>
      </c>
      <c r="K25" s="759">
        <v>2872.7840251699999</v>
      </c>
      <c r="L25" s="762">
        <v>2473.59238091</v>
      </c>
      <c r="M25" s="292">
        <v>2440.1981760399999</v>
      </c>
      <c r="P25" s="904"/>
      <c r="Q25" s="729"/>
      <c r="S25" s="729"/>
      <c r="U25" s="525"/>
    </row>
    <row r="26" spans="2:21" s="107" customFormat="1" ht="8.25" customHeight="1" x14ac:dyDescent="0.35">
      <c r="B26" s="217"/>
      <c r="K26" s="761"/>
      <c r="L26" s="761"/>
      <c r="P26" s="899"/>
    </row>
    <row r="27" spans="2:21" s="80" customFormat="1" ht="22.5" customHeight="1" x14ac:dyDescent="0.2">
      <c r="B27" s="168" t="s">
        <v>139</v>
      </c>
      <c r="C27" s="133">
        <v>44286</v>
      </c>
      <c r="D27" s="133">
        <v>44377</v>
      </c>
      <c r="E27" s="133">
        <v>44469</v>
      </c>
      <c r="F27" s="314">
        <v>44561</v>
      </c>
      <c r="G27" s="314">
        <v>44651</v>
      </c>
      <c r="H27" s="133">
        <v>44742</v>
      </c>
      <c r="I27" s="314">
        <v>44834</v>
      </c>
      <c r="J27" s="314">
        <v>44926</v>
      </c>
      <c r="K27" s="314">
        <v>45016</v>
      </c>
      <c r="L27" s="317">
        <v>45107</v>
      </c>
      <c r="M27" s="227">
        <v>45199</v>
      </c>
      <c r="P27" s="906"/>
    </row>
    <row r="28" spans="2:21" ht="22.5" customHeight="1" x14ac:dyDescent="0.35">
      <c r="B28" s="213" t="s">
        <v>406</v>
      </c>
      <c r="C28" s="101">
        <v>6732.3095874199998</v>
      </c>
      <c r="D28" s="101">
        <v>2847.63840256</v>
      </c>
      <c r="E28" s="101">
        <v>1863.45658499</v>
      </c>
      <c r="F28" s="315">
        <v>1675.2690512700001</v>
      </c>
      <c r="G28" s="315">
        <v>1748.9294942445633</v>
      </c>
      <c r="H28" s="315">
        <v>1261.36305197</v>
      </c>
      <c r="I28" s="315">
        <v>1326.5617363539479</v>
      </c>
      <c r="J28" s="315">
        <v>1121.0317535351926</v>
      </c>
      <c r="K28" s="315">
        <v>1049.1559046612622</v>
      </c>
      <c r="L28" s="237">
        <v>989.02409750153788</v>
      </c>
      <c r="M28" s="235">
        <v>986.92921446999992</v>
      </c>
      <c r="P28" s="908"/>
      <c r="Q28" s="730"/>
    </row>
    <row r="29" spans="2:21" ht="22.5" customHeight="1" x14ac:dyDescent="0.35">
      <c r="B29" s="215" t="s">
        <v>124</v>
      </c>
      <c r="C29" s="103">
        <v>86.570366899999996</v>
      </c>
      <c r="D29" s="103">
        <v>75.217568220000004</v>
      </c>
      <c r="E29" s="103">
        <v>65.694683260000005</v>
      </c>
      <c r="F29" s="302">
        <v>69.499034409999993</v>
      </c>
      <c r="G29" s="302">
        <v>55.50539796999999</v>
      </c>
      <c r="H29" s="302">
        <v>59.963582639999998</v>
      </c>
      <c r="I29" s="302">
        <v>46.647629892158101</v>
      </c>
      <c r="J29" s="302">
        <v>26.428999424572819</v>
      </c>
      <c r="K29" s="302">
        <v>32.978039007195953</v>
      </c>
      <c r="L29" s="238">
        <v>37.926002154881957</v>
      </c>
      <c r="M29" s="236">
        <v>41.861538460000006</v>
      </c>
      <c r="P29" s="907"/>
    </row>
    <row r="30" spans="2:21" ht="22.5" customHeight="1" x14ac:dyDescent="0.35">
      <c r="B30" s="215" t="s">
        <v>125</v>
      </c>
      <c r="C30" s="103">
        <v>160.80642911999999</v>
      </c>
      <c r="D30" s="103">
        <v>133.37889215000001</v>
      </c>
      <c r="E30" s="103">
        <v>118.89238125999999</v>
      </c>
      <c r="F30" s="302">
        <v>115.09276662000001</v>
      </c>
      <c r="G30" s="302">
        <v>111.85301052999999</v>
      </c>
      <c r="H30" s="302">
        <v>94.638159909999985</v>
      </c>
      <c r="I30" s="302">
        <v>90.333742017965704</v>
      </c>
      <c r="J30" s="302">
        <v>67.515062731128339</v>
      </c>
      <c r="K30" s="302">
        <v>75.736577099789329</v>
      </c>
      <c r="L30" s="238">
        <v>71.298873762228112</v>
      </c>
      <c r="M30" s="236">
        <v>60.825876800000003</v>
      </c>
      <c r="P30" s="907"/>
    </row>
    <row r="31" spans="2:21" ht="22.5" customHeight="1" x14ac:dyDescent="0.35">
      <c r="B31" s="219" t="s">
        <v>136</v>
      </c>
      <c r="C31" s="103">
        <v>6484.9327914200003</v>
      </c>
      <c r="D31" s="103">
        <v>2639.0419421699999</v>
      </c>
      <c r="E31" s="103">
        <v>1678.86952047</v>
      </c>
      <c r="F31" s="302">
        <v>1490.6772502400001</v>
      </c>
      <c r="G31" s="302">
        <v>1581.5710857445633</v>
      </c>
      <c r="H31" s="302">
        <v>1106.7613094199999</v>
      </c>
      <c r="I31" s="302">
        <v>1189.5803644438242</v>
      </c>
      <c r="J31" s="302">
        <v>1027.0876913794914</v>
      </c>
      <c r="K31" s="302">
        <v>940.44128855427687</v>
      </c>
      <c r="L31" s="238">
        <v>879.79922158442787</v>
      </c>
      <c r="M31" s="236">
        <v>884.24179920999995</v>
      </c>
      <c r="P31" s="907"/>
    </row>
    <row r="32" spans="2:21" ht="22.5" customHeight="1" x14ac:dyDescent="0.35">
      <c r="B32" s="213" t="s">
        <v>137</v>
      </c>
      <c r="C32" s="101">
        <v>2101.7480691800001</v>
      </c>
      <c r="D32" s="101">
        <v>126.62905477</v>
      </c>
      <c r="E32" s="101">
        <v>70.645271309999998</v>
      </c>
      <c r="F32" s="315">
        <v>72.462015089999994</v>
      </c>
      <c r="G32" s="315">
        <v>81.753611190000001</v>
      </c>
      <c r="H32" s="315">
        <v>80.594922580000002</v>
      </c>
      <c r="I32" s="315">
        <v>83.608787648293173</v>
      </c>
      <c r="J32" s="315">
        <v>86.436325317913642</v>
      </c>
      <c r="K32" s="315">
        <v>89.259121999929746</v>
      </c>
      <c r="L32" s="237">
        <v>47.792738938082778</v>
      </c>
      <c r="M32" s="235">
        <v>50.083827849999999</v>
      </c>
      <c r="P32" s="908"/>
    </row>
    <row r="33" spans="2:16" ht="22.5" customHeight="1" x14ac:dyDescent="0.35">
      <c r="B33" s="215" t="s">
        <v>124</v>
      </c>
      <c r="C33" s="103">
        <v>4.9767104499999997</v>
      </c>
      <c r="D33" s="103">
        <v>1.51608341</v>
      </c>
      <c r="E33" s="103">
        <v>2.38163678</v>
      </c>
      <c r="F33" s="302">
        <v>3.4247352799999997</v>
      </c>
      <c r="G33" s="302">
        <v>3.3515153999999998</v>
      </c>
      <c r="H33" s="302">
        <v>3.2918337799999997</v>
      </c>
      <c r="I33" s="302">
        <v>3.0982646517775025</v>
      </c>
      <c r="J33" s="302">
        <v>3.1933077622797184</v>
      </c>
      <c r="K33" s="302">
        <v>3.1882162810238359</v>
      </c>
      <c r="L33" s="238">
        <v>2.9999968909247956</v>
      </c>
      <c r="M33" s="236">
        <v>3.1731554500000003</v>
      </c>
      <c r="P33" s="907"/>
    </row>
    <row r="34" spans="2:16" ht="22.5" customHeight="1" x14ac:dyDescent="0.35">
      <c r="B34" s="215" t="s">
        <v>125</v>
      </c>
      <c r="C34" s="103">
        <v>91.150650679999998</v>
      </c>
      <c r="D34" s="103">
        <v>23.075616950000001</v>
      </c>
      <c r="E34" s="103">
        <v>23.16761546</v>
      </c>
      <c r="F34" s="302">
        <v>20.953034519999999</v>
      </c>
      <c r="G34" s="302">
        <v>27.606303</v>
      </c>
      <c r="H34" s="302">
        <v>27.461718699999999</v>
      </c>
      <c r="I34" s="302">
        <v>26.377210990006738</v>
      </c>
      <c r="J34" s="302">
        <v>19.887840894559123</v>
      </c>
      <c r="K34" s="302">
        <v>20.47533581058352</v>
      </c>
      <c r="L34" s="238">
        <v>15.575400612422969</v>
      </c>
      <c r="M34" s="236">
        <v>15.2937306</v>
      </c>
      <c r="P34" s="907"/>
    </row>
    <row r="35" spans="2:16" ht="22.5" customHeight="1" x14ac:dyDescent="0.35">
      <c r="B35" s="219" t="s">
        <v>136</v>
      </c>
      <c r="C35" s="103">
        <v>2005.62070806</v>
      </c>
      <c r="D35" s="103">
        <v>102.03735440999999</v>
      </c>
      <c r="E35" s="103">
        <v>45.096019069999997</v>
      </c>
      <c r="F35" s="302">
        <v>48.084245290000005</v>
      </c>
      <c r="G35" s="302">
        <v>50.79579279</v>
      </c>
      <c r="H35" s="302">
        <v>49.841370099999999</v>
      </c>
      <c r="I35" s="302">
        <v>54.133312006508937</v>
      </c>
      <c r="J35" s="302">
        <v>63.355176661074793</v>
      </c>
      <c r="K35" s="302">
        <v>65.595569908322403</v>
      </c>
      <c r="L35" s="238">
        <v>29.217341434735012</v>
      </c>
      <c r="M35" s="236">
        <v>31.616941799999999</v>
      </c>
      <c r="P35" s="908"/>
    </row>
    <row r="36" spans="2:16" ht="22.5" customHeight="1" x14ac:dyDescent="0.35">
      <c r="B36" s="213" t="s">
        <v>159</v>
      </c>
      <c r="C36" s="101">
        <v>1618.7596660499999</v>
      </c>
      <c r="D36" s="101">
        <v>514.85013379999998</v>
      </c>
      <c r="E36" s="101">
        <v>372.53253140999999</v>
      </c>
      <c r="F36" s="315">
        <v>222.87565174</v>
      </c>
      <c r="G36" s="315">
        <v>236.25888629000002</v>
      </c>
      <c r="H36" s="315">
        <v>212.90668455000002</v>
      </c>
      <c r="I36" s="315">
        <v>208.90147600533913</v>
      </c>
      <c r="J36" s="315">
        <v>213.38569344117175</v>
      </c>
      <c r="K36" s="315">
        <v>210.50448348320947</v>
      </c>
      <c r="L36" s="237">
        <v>116.178884367477</v>
      </c>
      <c r="M36" s="235">
        <v>123.69489335999998</v>
      </c>
      <c r="P36" s="908"/>
    </row>
    <row r="37" spans="2:16" ht="22.5" customHeight="1" x14ac:dyDescent="0.35">
      <c r="B37" s="215" t="s">
        <v>124</v>
      </c>
      <c r="C37" s="103">
        <v>20.789126830000001</v>
      </c>
      <c r="D37" s="103">
        <v>18.979661630000003</v>
      </c>
      <c r="E37" s="103">
        <v>19.87080323</v>
      </c>
      <c r="F37" s="302">
        <v>17.689887760000001</v>
      </c>
      <c r="G37" s="302">
        <v>16.730989269999998</v>
      </c>
      <c r="H37" s="302">
        <v>16.24501304</v>
      </c>
      <c r="I37" s="302">
        <v>14.905124677083016</v>
      </c>
      <c r="J37" s="302">
        <v>7.6207376926020434</v>
      </c>
      <c r="K37" s="302">
        <v>6.0629285036833211</v>
      </c>
      <c r="L37" s="238">
        <v>6.3834839179913612</v>
      </c>
      <c r="M37" s="236">
        <v>7.5737296300000008</v>
      </c>
      <c r="P37" s="907"/>
    </row>
    <row r="38" spans="2:16" ht="22.5" customHeight="1" x14ac:dyDescent="0.35">
      <c r="B38" s="215" t="s">
        <v>125</v>
      </c>
      <c r="C38" s="103">
        <v>55.096876469999998</v>
      </c>
      <c r="D38" s="103">
        <v>40.28232242</v>
      </c>
      <c r="E38" s="103">
        <v>43.879608709999999</v>
      </c>
      <c r="F38" s="302">
        <v>39.434223060000001</v>
      </c>
      <c r="G38" s="302">
        <v>41.391065640000008</v>
      </c>
      <c r="H38" s="302">
        <v>39.319416799999999</v>
      </c>
      <c r="I38" s="302">
        <v>31.916990784448874</v>
      </c>
      <c r="J38" s="302">
        <v>32.675739088911136</v>
      </c>
      <c r="K38" s="302">
        <v>30.137915338594468</v>
      </c>
      <c r="L38" s="238">
        <v>26.123862967260816</v>
      </c>
      <c r="M38" s="236">
        <v>25.733593479999996</v>
      </c>
      <c r="P38" s="907"/>
    </row>
    <row r="39" spans="2:16" ht="22.5" customHeight="1" x14ac:dyDescent="0.35">
      <c r="B39" s="219" t="s">
        <v>136</v>
      </c>
      <c r="C39" s="103">
        <v>1542.8736627600001</v>
      </c>
      <c r="D39" s="103">
        <v>455.58814976999997</v>
      </c>
      <c r="E39" s="103">
        <v>308.78211947</v>
      </c>
      <c r="F39" s="302">
        <v>165.75154092</v>
      </c>
      <c r="G39" s="302">
        <v>178.13683137999999</v>
      </c>
      <c r="H39" s="302">
        <v>157.34225471000002</v>
      </c>
      <c r="I39" s="302">
        <v>162.07936054380724</v>
      </c>
      <c r="J39" s="302">
        <v>173.08921665965855</v>
      </c>
      <c r="K39" s="302">
        <v>174.30363964093169</v>
      </c>
      <c r="L39" s="238">
        <v>83.671537482224821</v>
      </c>
      <c r="M39" s="236">
        <v>90.387570249999996</v>
      </c>
      <c r="P39" s="907"/>
    </row>
    <row r="40" spans="2:16" ht="22.5" customHeight="1" x14ac:dyDescent="0.35">
      <c r="B40" s="213" t="s">
        <v>138</v>
      </c>
      <c r="C40" s="101">
        <v>10452.81732269</v>
      </c>
      <c r="D40" s="101">
        <v>3489.1175911300002</v>
      </c>
      <c r="E40" s="101">
        <v>2306.6343877099998</v>
      </c>
      <c r="F40" s="315">
        <v>1970.6067181100004</v>
      </c>
      <c r="G40" s="315">
        <v>2066.9419917245636</v>
      </c>
      <c r="H40" s="315">
        <v>1554.8646591000002</v>
      </c>
      <c r="I40" s="315">
        <v>1619.0719999975802</v>
      </c>
      <c r="J40" s="315">
        <v>1420.853772304278</v>
      </c>
      <c r="K40" s="315">
        <v>1348.9195101444013</v>
      </c>
      <c r="L40" s="237">
        <v>1152.9957208270978</v>
      </c>
      <c r="M40" s="235">
        <v>1160.7079356999998</v>
      </c>
      <c r="P40" s="908"/>
    </row>
    <row r="41" spans="2:16" ht="22.5" customHeight="1" x14ac:dyDescent="0.35">
      <c r="B41" s="215" t="s">
        <v>124</v>
      </c>
      <c r="C41" s="103">
        <v>112.33620418</v>
      </c>
      <c r="D41" s="103">
        <v>95.713313259999993</v>
      </c>
      <c r="E41" s="103">
        <v>87.947123269999992</v>
      </c>
      <c r="F41" s="302">
        <v>90.613657449999991</v>
      </c>
      <c r="G41" s="302">
        <v>75.587902639999982</v>
      </c>
      <c r="H41" s="302">
        <v>79.500429459999992</v>
      </c>
      <c r="I41" s="302">
        <v>64.651019211018593</v>
      </c>
      <c r="J41" s="302">
        <v>37.24304488945458</v>
      </c>
      <c r="K41" s="302">
        <v>42.229183781903117</v>
      </c>
      <c r="L41" s="238">
        <v>47.309482973798119</v>
      </c>
      <c r="M41" s="236">
        <v>52.608423540000004</v>
      </c>
      <c r="P41" s="907"/>
    </row>
    <row r="42" spans="2:16" ht="22.5" customHeight="1" x14ac:dyDescent="0.35">
      <c r="B42" s="215" t="s">
        <v>125</v>
      </c>
      <c r="C42" s="103">
        <v>307.05395626999996</v>
      </c>
      <c r="D42" s="103">
        <v>196.73683152000001</v>
      </c>
      <c r="E42" s="103">
        <v>185.93960543</v>
      </c>
      <c r="F42" s="302">
        <v>175.48002420000003</v>
      </c>
      <c r="G42" s="302">
        <v>180.85037918</v>
      </c>
      <c r="H42" s="302">
        <v>161.41929540999999</v>
      </c>
      <c r="I42" s="302">
        <v>148.6279438024213</v>
      </c>
      <c r="J42" s="302">
        <v>120.0786427145986</v>
      </c>
      <c r="K42" s="302">
        <v>126.34982824896734</v>
      </c>
      <c r="L42" s="238">
        <v>112.99813735191189</v>
      </c>
      <c r="M42" s="236">
        <v>101.85320089</v>
      </c>
      <c r="P42" s="907"/>
    </row>
    <row r="43" spans="2:16" ht="22.5" customHeight="1" x14ac:dyDescent="0.35">
      <c r="B43" s="301" t="s">
        <v>136</v>
      </c>
      <c r="C43" s="300">
        <v>10033.427162239999</v>
      </c>
      <c r="D43" s="300">
        <v>3196.6674463499999</v>
      </c>
      <c r="E43" s="300">
        <v>2032.74765901</v>
      </c>
      <c r="F43" s="319">
        <v>1704.5130364600002</v>
      </c>
      <c r="G43" s="319">
        <v>1810.5037099045637</v>
      </c>
      <c r="H43" s="319">
        <v>1313.9449342299999</v>
      </c>
      <c r="I43" s="319">
        <v>1405.7930369841404</v>
      </c>
      <c r="J43" s="760">
        <v>1263.5320847002249</v>
      </c>
      <c r="K43" s="760">
        <v>1180.3404981135307</v>
      </c>
      <c r="L43" s="763">
        <v>992.68810050138768</v>
      </c>
      <c r="M43" s="299">
        <v>1006.2463112699998</v>
      </c>
      <c r="P43" s="907"/>
    </row>
    <row r="45" spans="2:16" ht="15" customHeight="1" x14ac:dyDescent="0.35">
      <c r="B45" s="628" t="s">
        <v>269</v>
      </c>
    </row>
  </sheetData>
  <mergeCells count="1">
    <mergeCell ref="B5:M5"/>
  </mergeCells>
  <hyperlinks>
    <hyperlink ref="M2" location="'Cover '!A1" display="Back to Cover" xr:uid="{A03E5750-6E5F-42BD-A123-1328716236C3}"/>
  </hyperlink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DBD6-8B84-4297-AD6B-29FEA0767081}">
  <sheetPr codeName="Foglio8">
    <pageSetUpPr fitToPage="1"/>
  </sheetPr>
  <dimension ref="A1:R35"/>
  <sheetViews>
    <sheetView showGridLines="0" view="pageBreakPreview" zoomScale="80" zoomScaleNormal="85" zoomScaleSheetLayoutView="80" workbookViewId="0">
      <selection activeCell="I11" sqref="I11"/>
    </sheetView>
  </sheetViews>
  <sheetFormatPr defaultColWidth="9.140625" defaultRowHeight="15" customHeight="1" x14ac:dyDescent="0.2"/>
  <cols>
    <col min="1" max="1" width="2.42578125" style="645" customWidth="1"/>
    <col min="2" max="2" width="35.5703125" style="645" customWidth="1"/>
    <col min="3" max="13" width="14.5703125" style="674" customWidth="1"/>
    <col min="14" max="14" width="2.42578125" style="645" customWidth="1"/>
    <col min="15" max="16384" width="9.140625" style="645"/>
  </cols>
  <sheetData>
    <row r="1" spans="1:18" s="642" customFormat="1" ht="15.75" customHeight="1" x14ac:dyDescent="0.25"/>
    <row r="2" spans="1:18" s="642" customFormat="1" ht="15.75" customHeight="1" x14ac:dyDescent="0.25">
      <c r="C2" s="7"/>
      <c r="D2" s="7"/>
      <c r="E2" s="7"/>
      <c r="F2" s="7"/>
      <c r="G2" s="7"/>
      <c r="H2" s="7"/>
      <c r="I2" s="7"/>
      <c r="J2" s="7"/>
      <c r="K2" s="7"/>
      <c r="L2" s="7"/>
      <c r="M2" s="7" t="s">
        <v>21</v>
      </c>
    </row>
    <row r="3" spans="1:18" s="642" customFormat="1" ht="15.75" customHeight="1" x14ac:dyDescent="0.25"/>
    <row r="4" spans="1:18" s="643" customFormat="1" ht="15.75" customHeight="1" x14ac:dyDescent="0.2"/>
    <row r="5" spans="1:18" ht="26.25" x14ac:dyDescent="0.2">
      <c r="A5" s="644"/>
      <c r="B5" s="938" t="s">
        <v>157</v>
      </c>
      <c r="C5" s="938"/>
      <c r="D5" s="938"/>
      <c r="E5" s="938"/>
      <c r="F5" s="938"/>
      <c r="G5" s="938"/>
      <c r="H5" s="938"/>
      <c r="I5" s="938"/>
      <c r="J5" s="938"/>
      <c r="K5" s="938"/>
      <c r="L5" s="938"/>
      <c r="M5" s="938"/>
    </row>
    <row r="6" spans="1:18" ht="9" customHeight="1" x14ac:dyDescent="0.2">
      <c r="A6" s="644"/>
      <c r="B6" s="646"/>
      <c r="C6" s="646"/>
      <c r="D6" s="646"/>
      <c r="E6" s="646"/>
      <c r="F6" s="646"/>
      <c r="G6" s="646"/>
      <c r="H6" s="646"/>
      <c r="I6" s="646"/>
      <c r="J6" s="646"/>
      <c r="K6" s="646"/>
      <c r="L6" s="646"/>
      <c r="M6" s="646"/>
    </row>
    <row r="7" spans="1:18" ht="11.25" customHeight="1" x14ac:dyDescent="0.2">
      <c r="A7" s="646"/>
      <c r="B7" s="647"/>
      <c r="C7" s="647"/>
      <c r="D7" s="647"/>
      <c r="E7" s="647"/>
      <c r="F7" s="647"/>
      <c r="G7" s="647"/>
      <c r="H7" s="647"/>
      <c r="I7" s="647"/>
      <c r="J7" s="647"/>
      <c r="K7" s="647"/>
      <c r="L7" s="647"/>
      <c r="M7" s="647"/>
    </row>
    <row r="8" spans="1:18" s="642" customFormat="1" ht="11.25" customHeight="1" x14ac:dyDescent="0.25">
      <c r="C8" s="648"/>
      <c r="D8" s="648"/>
      <c r="E8" s="648"/>
      <c r="F8" s="648"/>
      <c r="G8" s="648"/>
      <c r="H8" s="648"/>
      <c r="I8" s="648"/>
      <c r="J8" s="648"/>
      <c r="K8" s="648"/>
      <c r="L8" s="648"/>
      <c r="M8" s="648"/>
    </row>
    <row r="9" spans="1:18" s="642" customFormat="1" ht="34.5" customHeight="1" x14ac:dyDescent="0.25">
      <c r="B9" s="649" t="s">
        <v>103</v>
      </c>
      <c r="C9" s="314" t="s">
        <v>78</v>
      </c>
      <c r="D9" s="314" t="s">
        <v>84</v>
      </c>
      <c r="E9" s="314" t="s">
        <v>89</v>
      </c>
      <c r="F9" s="314" t="s">
        <v>92</v>
      </c>
      <c r="G9" s="314" t="s">
        <v>96</v>
      </c>
      <c r="H9" s="314" t="s">
        <v>162</v>
      </c>
      <c r="I9" s="314" t="s">
        <v>219</v>
      </c>
      <c r="J9" s="314" t="s">
        <v>226</v>
      </c>
      <c r="K9" s="314" t="s">
        <v>251</v>
      </c>
      <c r="L9" s="317" t="s">
        <v>255</v>
      </c>
      <c r="M9" s="650" t="s">
        <v>272</v>
      </c>
      <c r="R9" s="651"/>
    </row>
    <row r="10" spans="1:18" s="652" customFormat="1" ht="20.25" customHeight="1" x14ac:dyDescent="0.25">
      <c r="B10" s="100"/>
      <c r="C10" s="653"/>
      <c r="D10" s="653"/>
      <c r="E10" s="653"/>
      <c r="F10" s="654"/>
      <c r="G10" s="654"/>
      <c r="H10" s="654"/>
      <c r="I10" s="315"/>
      <c r="J10" s="315"/>
      <c r="K10" s="315"/>
      <c r="L10" s="237"/>
      <c r="M10" s="235"/>
      <c r="R10" s="655"/>
    </row>
    <row r="11" spans="1:18" s="652" customFormat="1" ht="20.25" customHeight="1" x14ac:dyDescent="0.25">
      <c r="B11" s="142" t="s">
        <v>249</v>
      </c>
      <c r="C11" s="653">
        <v>22486.782249829972</v>
      </c>
      <c r="D11" s="653">
        <v>22154.894448389994</v>
      </c>
      <c r="E11" s="653">
        <v>9007.7873814000013</v>
      </c>
      <c r="F11" s="656">
        <v>5985.5190524999989</v>
      </c>
      <c r="G11" s="656">
        <v>4915.0369695099962</v>
      </c>
      <c r="H11" s="656">
        <v>4721.7395479699999</v>
      </c>
      <c r="I11" s="710">
        <v>3425.745327170001</v>
      </c>
      <c r="J11" s="710">
        <v>3331.29172062</v>
      </c>
      <c r="K11" s="710">
        <v>2624.3162290799996</v>
      </c>
      <c r="L11" s="657">
        <v>2441.5529170199989</v>
      </c>
      <c r="M11" s="658">
        <v>2048.5796317300005</v>
      </c>
      <c r="R11" s="655"/>
    </row>
    <row r="12" spans="1:18" s="652" customFormat="1" ht="20.25" customHeight="1" x14ac:dyDescent="0.25">
      <c r="B12" s="142"/>
      <c r="C12" s="653"/>
      <c r="D12" s="653"/>
      <c r="E12" s="653"/>
      <c r="F12" s="659"/>
      <c r="G12" s="659"/>
      <c r="H12" s="659"/>
      <c r="I12" s="711"/>
      <c r="J12" s="711"/>
      <c r="K12" s="711"/>
      <c r="L12" s="660"/>
      <c r="M12" s="661"/>
      <c r="R12" s="655"/>
    </row>
    <row r="13" spans="1:18" s="652" customFormat="1" ht="20.25" customHeight="1" x14ac:dyDescent="0.25">
      <c r="B13" s="143" t="s">
        <v>62</v>
      </c>
      <c r="C13" s="653">
        <v>217.24700000000001</v>
      </c>
      <c r="D13" s="653">
        <v>163.24045999999998</v>
      </c>
      <c r="E13" s="653">
        <v>132</v>
      </c>
      <c r="F13" s="656">
        <v>50.761584172748499</v>
      </c>
      <c r="G13" s="656">
        <v>40.4</v>
      </c>
      <c r="H13" s="656">
        <v>38.72</v>
      </c>
      <c r="I13" s="710">
        <v>31.74</v>
      </c>
      <c r="J13" s="710">
        <v>39.03</v>
      </c>
      <c r="K13" s="710">
        <v>34.39</v>
      </c>
      <c r="L13" s="657">
        <v>23.21</v>
      </c>
      <c r="M13" s="658">
        <v>18.59</v>
      </c>
      <c r="R13" s="655"/>
    </row>
    <row r="14" spans="1:18" s="652" customFormat="1" ht="20.25" customHeight="1" x14ac:dyDescent="0.25">
      <c r="B14" s="143" t="s">
        <v>63</v>
      </c>
      <c r="C14" s="653">
        <v>234.85300000000001</v>
      </c>
      <c r="D14" s="653">
        <v>230.23247000000001</v>
      </c>
      <c r="E14" s="653">
        <v>154</v>
      </c>
      <c r="F14" s="656">
        <v>70.216019239969398</v>
      </c>
      <c r="G14" s="656">
        <v>75.099999999999994</v>
      </c>
      <c r="H14" s="656">
        <v>70.05</v>
      </c>
      <c r="I14" s="710">
        <v>67.31</v>
      </c>
      <c r="J14" s="710">
        <v>75.849999999999994</v>
      </c>
      <c r="K14" s="710">
        <v>58.4</v>
      </c>
      <c r="L14" s="657">
        <v>193.13</v>
      </c>
      <c r="M14" s="658">
        <v>61.39</v>
      </c>
      <c r="R14" s="655"/>
    </row>
    <row r="15" spans="1:18" s="652" customFormat="1" ht="20.25" customHeight="1" x14ac:dyDescent="0.25">
      <c r="B15" s="143" t="s">
        <v>243</v>
      </c>
      <c r="C15" s="653">
        <f>C13+C14</f>
        <v>452.1</v>
      </c>
      <c r="D15" s="653">
        <f t="shared" ref="D15:I15" si="0">D13+D14</f>
        <v>393.47293000000002</v>
      </c>
      <c r="E15" s="653">
        <f t="shared" si="0"/>
        <v>286</v>
      </c>
      <c r="F15" s="656">
        <f t="shared" si="0"/>
        <v>120.9776034127179</v>
      </c>
      <c r="G15" s="656">
        <f t="shared" si="0"/>
        <v>115.5</v>
      </c>
      <c r="H15" s="656">
        <f t="shared" si="0"/>
        <v>108.77</v>
      </c>
      <c r="I15" s="710">
        <f t="shared" si="0"/>
        <v>99.05</v>
      </c>
      <c r="J15" s="710">
        <f t="shared" ref="J15" si="1">J13+J14</f>
        <v>114.88</v>
      </c>
      <c r="K15" s="710">
        <f t="shared" ref="K15" si="2">K13+K14</f>
        <v>92.789999999999992</v>
      </c>
      <c r="L15" s="657">
        <f t="shared" ref="L15:M15" si="3">L13+L14</f>
        <v>216.34</v>
      </c>
      <c r="M15" s="658">
        <f t="shared" si="3"/>
        <v>79.98</v>
      </c>
      <c r="R15" s="655"/>
    </row>
    <row r="16" spans="1:18" s="652" customFormat="1" ht="20.25" customHeight="1" x14ac:dyDescent="0.25">
      <c r="B16" s="641" t="s">
        <v>244</v>
      </c>
      <c r="C16" s="662">
        <v>220.32999999999998</v>
      </c>
      <c r="D16" s="662">
        <v>178.2</v>
      </c>
      <c r="E16" s="662">
        <v>186.798</v>
      </c>
      <c r="F16" s="663">
        <v>56.059999999999995</v>
      </c>
      <c r="G16" s="663">
        <v>50.2</v>
      </c>
      <c r="H16" s="663">
        <v>30.96</v>
      </c>
      <c r="I16" s="712">
        <v>26.71</v>
      </c>
      <c r="J16" s="712">
        <v>46.61</v>
      </c>
      <c r="K16" s="712">
        <v>22.16</v>
      </c>
      <c r="L16" s="664">
        <v>151.85999999999999</v>
      </c>
      <c r="M16" s="665">
        <v>16.920000000000002</v>
      </c>
      <c r="R16" s="655"/>
    </row>
    <row r="17" spans="2:18" s="652" customFormat="1" ht="20.25" customHeight="1" x14ac:dyDescent="0.25">
      <c r="B17" s="641" t="s">
        <v>245</v>
      </c>
      <c r="C17" s="662">
        <v>168.45999999999998</v>
      </c>
      <c r="D17" s="662">
        <v>143.85</v>
      </c>
      <c r="E17" s="662">
        <v>72.540000000000006</v>
      </c>
      <c r="F17" s="663">
        <v>43.32</v>
      </c>
      <c r="G17" s="663">
        <v>42.56</v>
      </c>
      <c r="H17" s="663">
        <v>52.25</v>
      </c>
      <c r="I17" s="712">
        <v>50.54</v>
      </c>
      <c r="J17" s="712">
        <v>47.81</v>
      </c>
      <c r="K17" s="712">
        <v>51.56</v>
      </c>
      <c r="L17" s="664">
        <v>47.18</v>
      </c>
      <c r="M17" s="665">
        <v>44.15</v>
      </c>
      <c r="R17" s="655"/>
    </row>
    <row r="18" spans="2:18" s="652" customFormat="1" ht="20.25" customHeight="1" x14ac:dyDescent="0.25">
      <c r="B18" s="641" t="s">
        <v>246</v>
      </c>
      <c r="C18" s="662">
        <v>63.31</v>
      </c>
      <c r="D18" s="662">
        <v>71.42</v>
      </c>
      <c r="E18" s="662">
        <v>27.11</v>
      </c>
      <c r="F18" s="663">
        <v>21.6</v>
      </c>
      <c r="G18" s="663">
        <v>22.74</v>
      </c>
      <c r="H18" s="663">
        <v>25.56</v>
      </c>
      <c r="I18" s="712">
        <v>21.8</v>
      </c>
      <c r="J18" s="712">
        <v>20.46</v>
      </c>
      <c r="K18" s="712">
        <v>19.05</v>
      </c>
      <c r="L18" s="664">
        <v>17.309999999999999</v>
      </c>
      <c r="M18" s="665">
        <v>18.91</v>
      </c>
      <c r="R18" s="655"/>
    </row>
    <row r="19" spans="2:18" s="652" customFormat="1" ht="20.25" customHeight="1" x14ac:dyDescent="0.25">
      <c r="B19" s="641"/>
      <c r="C19" s="653"/>
      <c r="D19" s="653"/>
      <c r="E19" s="653"/>
      <c r="F19" s="659"/>
      <c r="G19" s="659"/>
      <c r="H19" s="659"/>
      <c r="I19" s="711"/>
      <c r="J19" s="711"/>
      <c r="K19" s="711"/>
      <c r="L19" s="660"/>
      <c r="M19" s="661"/>
      <c r="R19" s="655"/>
    </row>
    <row r="20" spans="2:18" s="652" customFormat="1" ht="20.25" customHeight="1" x14ac:dyDescent="0.25">
      <c r="B20" s="143" t="s">
        <v>67</v>
      </c>
      <c r="C20" s="653">
        <v>-371.02199999999999</v>
      </c>
      <c r="D20" s="653">
        <v>-345.20357999999999</v>
      </c>
      <c r="E20" s="653">
        <v>-206</v>
      </c>
      <c r="F20" s="656">
        <v>-458.74321592399451</v>
      </c>
      <c r="G20" s="656">
        <v>-224.10000000000019</v>
      </c>
      <c r="H20" s="656">
        <v>-364.16999999999996</v>
      </c>
      <c r="I20" s="710">
        <v>-169.97000000000006</v>
      </c>
      <c r="J20" s="710">
        <v>-270.56999999999982</v>
      </c>
      <c r="K20" s="710">
        <v>-158.26999999999995</v>
      </c>
      <c r="L20" s="657">
        <v>-142.70000000000024</v>
      </c>
      <c r="M20" s="658">
        <v>-52.539999999999893</v>
      </c>
      <c r="R20" s="655"/>
    </row>
    <row r="21" spans="2:18" s="652" customFormat="1" ht="20.25" customHeight="1" x14ac:dyDescent="0.25">
      <c r="B21" s="641" t="s">
        <v>244</v>
      </c>
      <c r="C21" s="662">
        <v>-197.31000000000085</v>
      </c>
      <c r="D21" s="662">
        <v>-267.12817033999085</v>
      </c>
      <c r="E21" s="662">
        <v>-131.21482966000897</v>
      </c>
      <c r="F21" s="663">
        <v>-367.25900000000013</v>
      </c>
      <c r="G21" s="663">
        <v>-113.0349940100061</v>
      </c>
      <c r="H21" s="663">
        <v>-292.6099999999999</v>
      </c>
      <c r="I21" s="712">
        <v>-125.33000000000001</v>
      </c>
      <c r="J21" s="712">
        <v>-225.50999999999991</v>
      </c>
      <c r="K21" s="712">
        <v>-101.47999999999993</v>
      </c>
      <c r="L21" s="664">
        <v>-110.24999999999994</v>
      </c>
      <c r="M21" s="665">
        <v>-21.840000000000128</v>
      </c>
      <c r="R21" s="655"/>
    </row>
    <row r="22" spans="2:18" s="652" customFormat="1" ht="20.25" customHeight="1" x14ac:dyDescent="0.25">
      <c r="B22" s="641" t="s">
        <v>245</v>
      </c>
      <c r="C22" s="662">
        <v>-148.23999999999995</v>
      </c>
      <c r="D22" s="662">
        <v>-60.169999999998723</v>
      </c>
      <c r="E22" s="662">
        <v>-53.090000000000053</v>
      </c>
      <c r="F22" s="663">
        <v>-70.859999999999971</v>
      </c>
      <c r="G22" s="663">
        <v>-89.280590269999138</v>
      </c>
      <c r="H22" s="663">
        <v>-54.17</v>
      </c>
      <c r="I22" s="712">
        <v>-31.959999999999997</v>
      </c>
      <c r="J22" s="712">
        <v>-28.740000000000009</v>
      </c>
      <c r="K22" s="712">
        <v>-41.53</v>
      </c>
      <c r="L22" s="664">
        <v>-20.080000000000016</v>
      </c>
      <c r="M22" s="665">
        <v>-22.040000000000028</v>
      </c>
      <c r="R22" s="655"/>
    </row>
    <row r="23" spans="2:18" s="652" customFormat="1" ht="20.25" customHeight="1" x14ac:dyDescent="0.25">
      <c r="B23" s="641" t="s">
        <v>246</v>
      </c>
      <c r="C23" s="662">
        <v>-25.47000000000002</v>
      </c>
      <c r="D23" s="662">
        <v>-17.120000000000154</v>
      </c>
      <c r="E23" s="662">
        <v>-21.709999999999997</v>
      </c>
      <c r="F23" s="663">
        <v>-20.980000000000025</v>
      </c>
      <c r="G23" s="663">
        <v>-21.812554031532613</v>
      </c>
      <c r="H23" s="663">
        <v>-17.389999999999997</v>
      </c>
      <c r="I23" s="712">
        <v>-12.670000000000002</v>
      </c>
      <c r="J23" s="712">
        <v>-16.319999999999961</v>
      </c>
      <c r="K23" s="712">
        <v>-15.23000000000005</v>
      </c>
      <c r="L23" s="664">
        <v>-12.389999999999953</v>
      </c>
      <c r="M23" s="665">
        <v>-8.6600000000000108</v>
      </c>
      <c r="R23" s="655"/>
    </row>
    <row r="24" spans="2:18" s="652" customFormat="1" ht="20.25" customHeight="1" x14ac:dyDescent="0.25">
      <c r="B24" s="641"/>
      <c r="C24" s="653"/>
      <c r="D24" s="653"/>
      <c r="E24" s="662"/>
      <c r="F24" s="659"/>
      <c r="G24" s="659"/>
      <c r="H24" s="659"/>
      <c r="I24" s="711"/>
      <c r="J24" s="711"/>
      <c r="K24" s="711"/>
      <c r="L24" s="660"/>
      <c r="M24" s="661"/>
      <c r="R24" s="655"/>
    </row>
    <row r="25" spans="2:18" s="652" customFormat="1" ht="20.25" customHeight="1" x14ac:dyDescent="0.25">
      <c r="B25" s="142" t="s">
        <v>66</v>
      </c>
      <c r="C25" s="653">
        <v>-166.37</v>
      </c>
      <c r="D25" s="653">
        <v>-98.848570000000009</v>
      </c>
      <c r="E25" s="653">
        <v>-88</v>
      </c>
      <c r="F25" s="656">
        <v>-341.14576206749598</v>
      </c>
      <c r="G25" s="656">
        <v>-83.1</v>
      </c>
      <c r="H25" s="656">
        <v>-159.02000000000001</v>
      </c>
      <c r="I25" s="710">
        <v>-18.75</v>
      </c>
      <c r="J25" s="710">
        <v>-97.63</v>
      </c>
      <c r="K25" s="710">
        <v>-95.11</v>
      </c>
      <c r="L25" s="657">
        <v>-40.4</v>
      </c>
      <c r="M25" s="658">
        <v>-30.6</v>
      </c>
      <c r="R25" s="655"/>
    </row>
    <row r="26" spans="2:18" s="652" customFormat="1" ht="20.25" customHeight="1" x14ac:dyDescent="0.25">
      <c r="B26" s="142" t="s">
        <v>64</v>
      </c>
      <c r="C26" s="653">
        <v>-246.596</v>
      </c>
      <c r="D26" s="653">
        <v>-13097.285250000001</v>
      </c>
      <c r="E26" s="653">
        <v>-3015</v>
      </c>
      <c r="F26" s="656">
        <v>-391.20708400402623</v>
      </c>
      <c r="G26" s="656">
        <v>-1.6</v>
      </c>
      <c r="H26" s="656">
        <v>-881.57</v>
      </c>
      <c r="I26" s="710">
        <v>-4.79</v>
      </c>
      <c r="J26" s="710">
        <v>-453.65</v>
      </c>
      <c r="K26" s="710">
        <v>-22.18</v>
      </c>
      <c r="L26" s="657">
        <v>-426.21</v>
      </c>
      <c r="M26" s="658">
        <v>0.04</v>
      </c>
      <c r="R26" s="655"/>
    </row>
    <row r="27" spans="2:18" s="652" customFormat="1" ht="20.25" customHeight="1" x14ac:dyDescent="0.25">
      <c r="B27" s="142"/>
      <c r="C27" s="662"/>
      <c r="D27" s="662"/>
      <c r="E27" s="662"/>
      <c r="F27" s="666"/>
      <c r="G27" s="666"/>
      <c r="H27" s="666"/>
      <c r="I27" s="302"/>
      <c r="J27" s="302"/>
      <c r="K27" s="302"/>
      <c r="L27" s="238"/>
      <c r="M27" s="236"/>
    </row>
    <row r="28" spans="2:18" s="652" customFormat="1" ht="20.25" customHeight="1" x14ac:dyDescent="0.25">
      <c r="B28" s="142" t="s">
        <v>65</v>
      </c>
      <c r="C28" s="653">
        <v>22154.894448389994</v>
      </c>
      <c r="D28" s="653">
        <v>9007.7873814000013</v>
      </c>
      <c r="E28" s="653">
        <v>5985.5190524999989</v>
      </c>
      <c r="F28" s="654">
        <v>4915.0369695099962</v>
      </c>
      <c r="G28" s="654">
        <v>4721.7395479699999</v>
      </c>
      <c r="H28" s="654">
        <v>3425.745327170001</v>
      </c>
      <c r="I28" s="315">
        <v>3331.29172062</v>
      </c>
      <c r="J28" s="315">
        <v>2624.3162290799996</v>
      </c>
      <c r="K28" s="315">
        <v>2441.5529170199989</v>
      </c>
      <c r="L28" s="237">
        <v>2048.5796317300005</v>
      </c>
      <c r="M28" s="235">
        <v>2045.45625649</v>
      </c>
    </row>
    <row r="29" spans="2:18" s="652" customFormat="1" ht="20.25" customHeight="1" x14ac:dyDescent="0.25">
      <c r="B29" s="144"/>
      <c r="C29" s="667"/>
      <c r="D29" s="667"/>
      <c r="E29" s="667"/>
      <c r="F29" s="668"/>
      <c r="G29" s="668"/>
      <c r="H29" s="668"/>
      <c r="I29" s="668"/>
      <c r="J29" s="757"/>
      <c r="K29" s="757"/>
      <c r="L29" s="758"/>
      <c r="M29" s="669"/>
    </row>
    <row r="30" spans="2:18" s="671" customFormat="1" ht="11.25" customHeight="1" x14ac:dyDescent="0.25">
      <c r="B30" s="670"/>
    </row>
    <row r="31" spans="2:18" s="671" customFormat="1" ht="11.25" customHeight="1" x14ac:dyDescent="0.25">
      <c r="B31" s="670" t="s">
        <v>270</v>
      </c>
    </row>
    <row r="32" spans="2:18" s="80" customFormat="1" ht="22.5" customHeight="1" x14ac:dyDescent="0.2">
      <c r="B32" s="959"/>
      <c r="C32" s="959"/>
      <c r="D32" s="959"/>
      <c r="E32" s="959"/>
      <c r="F32" s="959"/>
      <c r="G32" s="959"/>
      <c r="H32" s="959"/>
      <c r="I32" s="959"/>
      <c r="J32" s="959"/>
      <c r="K32" s="959"/>
      <c r="L32" s="959"/>
      <c r="M32" s="959"/>
    </row>
    <row r="34" spans="3:13" ht="15" customHeight="1" x14ac:dyDescent="0.2">
      <c r="C34" s="672"/>
      <c r="D34" s="672"/>
      <c r="E34" s="672"/>
      <c r="F34" s="672"/>
      <c r="G34" s="672"/>
      <c r="H34" s="672"/>
      <c r="I34" s="672"/>
      <c r="J34" s="672"/>
      <c r="K34" s="672"/>
      <c r="L34" s="672"/>
      <c r="M34" s="672"/>
    </row>
    <row r="35" spans="3:13" ht="15" customHeight="1" x14ac:dyDescent="0.2">
      <c r="C35" s="673"/>
      <c r="D35" s="673"/>
      <c r="E35" s="673"/>
      <c r="F35" s="673"/>
      <c r="G35" s="673"/>
      <c r="H35" s="673"/>
      <c r="I35" s="673"/>
      <c r="J35" s="673"/>
      <c r="K35" s="673"/>
      <c r="L35" s="673"/>
      <c r="M35" s="673"/>
    </row>
  </sheetData>
  <mergeCells count="2">
    <mergeCell ref="B5:M5"/>
    <mergeCell ref="B32:M32"/>
  </mergeCells>
  <hyperlinks>
    <hyperlink ref="M2" location="'Cover '!A1" display="Back to Cover" xr:uid="{49077E08-3475-43F9-B35F-D0DD0E50A313}"/>
  </hyperlinks>
  <printOptions horizontalCentered="1" verticalCentered="1"/>
  <pageMargins left="0" right="0" top="0" bottom="0" header="0" footer="0"/>
  <pageSetup paperSize="8" scale="7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4"/>
  <sheetViews>
    <sheetView showGridLines="0" view="pageBreakPreview" zoomScale="80" zoomScaleNormal="90" zoomScaleSheetLayoutView="80" workbookViewId="0">
      <pane xSplit="2" ySplit="10" topLeftCell="C11" activePane="bottomRight" state="frozen"/>
      <selection pane="topRight" activeCell="C1" sqref="C1"/>
      <selection pane="bottomLeft" activeCell="A11" sqref="A11"/>
      <selection pane="bottomRight" activeCell="M16" sqref="M16"/>
    </sheetView>
  </sheetViews>
  <sheetFormatPr defaultColWidth="9.140625" defaultRowHeight="15" x14ac:dyDescent="0.25"/>
  <cols>
    <col min="1" max="1" width="2.42578125" style="108" customWidth="1"/>
    <col min="2" max="2" width="35" style="108" customWidth="1"/>
    <col min="3" max="13" width="15.7109375" style="108" customWidth="1"/>
    <col min="14" max="14" width="2.42578125" style="109" customWidth="1"/>
    <col min="15" max="16384" width="9.140625" style="109"/>
  </cols>
  <sheetData>
    <row r="1" spans="1:13" ht="15.75" customHeight="1" x14ac:dyDescent="0.25"/>
    <row r="2" spans="1:13" ht="15.75" customHeight="1" x14ac:dyDescent="0.25">
      <c r="C2" s="61"/>
      <c r="D2" s="61"/>
      <c r="E2" s="61"/>
      <c r="F2" s="61"/>
      <c r="G2" s="61"/>
      <c r="H2" s="61"/>
      <c r="I2" s="61"/>
      <c r="J2" s="61"/>
      <c r="K2" s="61"/>
      <c r="L2" s="61"/>
      <c r="M2" s="7" t="s">
        <v>21</v>
      </c>
    </row>
    <row r="3" spans="1:13" ht="15.75" customHeight="1" x14ac:dyDescent="0.25"/>
    <row r="4" spans="1:13" ht="15.75" customHeight="1" x14ac:dyDescent="0.25">
      <c r="C4" s="7"/>
      <c r="D4" s="7"/>
      <c r="E4" s="7"/>
      <c r="F4" s="7"/>
      <c r="G4" s="7"/>
      <c r="H4" s="7"/>
      <c r="I4" s="7"/>
      <c r="J4" s="7"/>
      <c r="K4" s="7"/>
      <c r="L4" s="7"/>
    </row>
    <row r="5" spans="1:13" s="111" customFormat="1" ht="26.25" customHeight="1" x14ac:dyDescent="0.25">
      <c r="A5" s="110"/>
      <c r="B5" s="958" t="s">
        <v>47</v>
      </c>
      <c r="C5" s="958"/>
      <c r="D5" s="958"/>
      <c r="E5" s="958"/>
      <c r="F5" s="958"/>
      <c r="G5" s="958"/>
      <c r="H5" s="958"/>
      <c r="I5" s="958"/>
      <c r="J5" s="958"/>
      <c r="K5" s="958"/>
      <c r="L5" s="958"/>
      <c r="M5" s="958"/>
    </row>
    <row r="6" spans="1:13" s="113" customFormat="1" x14ac:dyDescent="0.25">
      <c r="A6" s="110"/>
      <c r="B6" s="112"/>
      <c r="C6" s="112"/>
      <c r="D6" s="112"/>
      <c r="E6" s="112"/>
      <c r="F6" s="112"/>
      <c r="G6" s="112"/>
      <c r="H6" s="112"/>
      <c r="I6" s="112"/>
      <c r="J6" s="112"/>
      <c r="K6" s="112"/>
      <c r="L6" s="112"/>
      <c r="M6" s="112"/>
    </row>
    <row r="8" spans="1:13" ht="15" customHeight="1" x14ac:dyDescent="0.25">
      <c r="B8" s="108" t="s">
        <v>48</v>
      </c>
      <c r="C8" s="124"/>
      <c r="D8" s="124"/>
      <c r="E8" s="124"/>
      <c r="F8" s="124"/>
      <c r="G8" s="124"/>
      <c r="H8" s="124"/>
      <c r="I8" s="124"/>
      <c r="J8" s="124"/>
      <c r="K8" s="124"/>
      <c r="L8" s="124"/>
      <c r="M8" s="124"/>
    </row>
    <row r="9" spans="1:13" x14ac:dyDescent="0.25">
      <c r="C9" s="125"/>
      <c r="D9" s="125"/>
      <c r="E9" s="125"/>
      <c r="F9" s="125"/>
      <c r="G9" s="125"/>
      <c r="H9" s="125"/>
      <c r="I9" s="125"/>
      <c r="J9" s="125"/>
      <c r="K9" s="125"/>
      <c r="L9" s="125"/>
      <c r="M9" s="125"/>
    </row>
    <row r="10" spans="1:13" s="115" customFormat="1" ht="18.75" x14ac:dyDescent="0.25">
      <c r="A10" s="114"/>
      <c r="B10" s="191"/>
      <c r="C10" s="192">
        <v>44286</v>
      </c>
      <c r="D10" s="192">
        <v>44377</v>
      </c>
      <c r="E10" s="192">
        <v>44469</v>
      </c>
      <c r="F10" s="192">
        <v>44561</v>
      </c>
      <c r="G10" s="192">
        <v>44651</v>
      </c>
      <c r="H10" s="192">
        <v>44742</v>
      </c>
      <c r="I10" s="192">
        <v>44834</v>
      </c>
      <c r="J10" s="192">
        <v>44926</v>
      </c>
      <c r="K10" s="192">
        <v>45016</v>
      </c>
      <c r="L10" s="563">
        <v>45107</v>
      </c>
      <c r="M10" s="295">
        <v>45199</v>
      </c>
    </row>
    <row r="11" spans="1:13" ht="20.25" customHeight="1" x14ac:dyDescent="0.25">
      <c r="B11" s="193"/>
      <c r="C11" s="193"/>
      <c r="D11" s="193"/>
      <c r="E11" s="193"/>
      <c r="F11" s="193"/>
      <c r="G11" s="544"/>
      <c r="H11" s="544"/>
      <c r="I11" s="544"/>
      <c r="J11" s="544"/>
      <c r="K11" s="544"/>
      <c r="L11" s="564"/>
      <c r="M11" s="305"/>
    </row>
    <row r="12" spans="1:13" ht="24" customHeight="1" x14ac:dyDescent="0.25">
      <c r="B12" s="194" t="s">
        <v>407</v>
      </c>
      <c r="C12" s="195"/>
      <c r="D12" s="195"/>
      <c r="E12" s="195"/>
      <c r="F12" s="195"/>
      <c r="G12" s="195"/>
      <c r="H12" s="195"/>
      <c r="I12" s="195"/>
      <c r="J12" s="195"/>
      <c r="K12" s="195"/>
      <c r="L12" s="565"/>
      <c r="M12" s="307"/>
    </row>
    <row r="13" spans="1:13" x14ac:dyDescent="0.25">
      <c r="B13" s="196" t="s">
        <v>61</v>
      </c>
      <c r="C13" s="197"/>
      <c r="D13" s="197"/>
      <c r="E13" s="197"/>
      <c r="F13" s="197"/>
      <c r="G13" s="545"/>
      <c r="H13" s="545"/>
      <c r="I13" s="713"/>
      <c r="J13" s="753"/>
      <c r="K13" s="753"/>
      <c r="L13" s="755"/>
      <c r="M13" s="309"/>
    </row>
    <row r="14" spans="1:13" s="116" customFormat="1" ht="15" customHeight="1" x14ac:dyDescent="0.25">
      <c r="B14" s="198" t="s">
        <v>70</v>
      </c>
      <c r="C14" s="199">
        <v>5109.753702</v>
      </c>
      <c r="D14" s="199">
        <v>4063.6057230000001</v>
      </c>
      <c r="E14" s="199">
        <v>3276.9440629999999</v>
      </c>
      <c r="F14" s="199">
        <v>3581.735271</v>
      </c>
      <c r="G14" s="199">
        <v>3561.6973419999999</v>
      </c>
      <c r="H14" s="199">
        <v>3474.0866339999998</v>
      </c>
      <c r="I14" s="199">
        <v>3792.4899409999998</v>
      </c>
      <c r="J14" s="199">
        <v>4064.2339860000002</v>
      </c>
      <c r="K14" s="199">
        <v>3779.8510980000001</v>
      </c>
      <c r="L14" s="566">
        <v>3865.9960590000001</v>
      </c>
      <c r="M14" s="294">
        <v>4110.370457</v>
      </c>
    </row>
    <row r="15" spans="1:13" x14ac:dyDescent="0.25">
      <c r="B15" s="198" t="s">
        <v>68</v>
      </c>
      <c r="C15" s="199">
        <v>5999.1921590000002</v>
      </c>
      <c r="D15" s="199">
        <v>5553.5794589999996</v>
      </c>
      <c r="E15" s="199">
        <v>4767.5433430000003</v>
      </c>
      <c r="F15" s="199">
        <v>5072.8914089999998</v>
      </c>
      <c r="G15" s="199">
        <v>5053.4596650000003</v>
      </c>
      <c r="H15" s="199">
        <v>4966.5417980000002</v>
      </c>
      <c r="I15" s="199">
        <v>5285.0870880000002</v>
      </c>
      <c r="J15" s="199">
        <v>5557.3076840000003</v>
      </c>
      <c r="K15" s="199">
        <v>5273.5551919999998</v>
      </c>
      <c r="L15" s="566">
        <v>5360.4137840000003</v>
      </c>
      <c r="M15" s="294">
        <v>5604.9866160000001</v>
      </c>
    </row>
    <row r="16" spans="1:13" x14ac:dyDescent="0.25">
      <c r="B16" s="198" t="s">
        <v>69</v>
      </c>
      <c r="C16" s="199">
        <v>42390.549307000001</v>
      </c>
      <c r="D16" s="199">
        <v>37390.637632999998</v>
      </c>
      <c r="E16" s="199">
        <v>33097.290544000003</v>
      </c>
      <c r="F16" s="199">
        <v>32207.029317</v>
      </c>
      <c r="G16" s="199">
        <v>31670.097586</v>
      </c>
      <c r="H16" s="199">
        <v>31539.619437000001</v>
      </c>
      <c r="I16" s="199">
        <v>31891.510697000002</v>
      </c>
      <c r="J16" s="199">
        <v>31178.187938999999</v>
      </c>
      <c r="K16" s="199">
        <v>31082.554315000001</v>
      </c>
      <c r="L16" s="566">
        <v>31617.013011999999</v>
      </c>
      <c r="M16" s="294">
        <v>32172.703530999999</v>
      </c>
    </row>
    <row r="17" spans="2:13" x14ac:dyDescent="0.25">
      <c r="B17" s="200" t="s">
        <v>73</v>
      </c>
      <c r="C17" s="201">
        <v>0.12053992660001271</v>
      </c>
      <c r="D17" s="201">
        <v>0.10867976531680133</v>
      </c>
      <c r="E17" s="201">
        <v>9.900943579183874E-2</v>
      </c>
      <c r="F17" s="201">
        <v>0.11120973734480487</v>
      </c>
      <c r="G17" s="201">
        <v>0.11246246817927313</v>
      </c>
      <c r="H17" s="201">
        <v>0.11014992241550171</v>
      </c>
      <c r="I17" s="201">
        <v>0.11891847887145575</v>
      </c>
      <c r="J17" s="201">
        <v>0.13035504160638386</v>
      </c>
      <c r="K17" s="201">
        <v>0.12160683641678371</v>
      </c>
      <c r="L17" s="567">
        <v>0.12227581579362637</v>
      </c>
      <c r="M17" s="293">
        <v>0.12775956030675054</v>
      </c>
    </row>
    <row r="18" spans="2:13" x14ac:dyDescent="0.25">
      <c r="B18" s="200" t="s">
        <v>74</v>
      </c>
      <c r="C18" s="201">
        <v>0.14152192545448677</v>
      </c>
      <c r="D18" s="201">
        <v>0.14852861065141493</v>
      </c>
      <c r="E18" s="201">
        <v>0.14404633323872723</v>
      </c>
      <c r="F18" s="201">
        <v>0.15750882700387239</v>
      </c>
      <c r="G18" s="201">
        <v>0.15956564867782155</v>
      </c>
      <c r="H18" s="201">
        <v>0.15746993421783689</v>
      </c>
      <c r="I18" s="201">
        <v>0.16572081323501436</v>
      </c>
      <c r="J18" s="201">
        <v>0.17824344682483956</v>
      </c>
      <c r="K18" s="201">
        <v>0.16966286420852666</v>
      </c>
      <c r="L18" s="567">
        <v>0.16954206844161704</v>
      </c>
      <c r="M18" s="293">
        <v>0.17421559274927942</v>
      </c>
    </row>
    <row r="19" spans="2:13" x14ac:dyDescent="0.25">
      <c r="B19" s="193"/>
      <c r="C19" s="193"/>
      <c r="D19" s="193"/>
      <c r="E19" s="193"/>
      <c r="F19" s="193"/>
      <c r="G19" s="544"/>
      <c r="H19" s="544"/>
      <c r="I19" s="544"/>
      <c r="J19" s="544"/>
      <c r="K19" s="544"/>
      <c r="L19" s="564"/>
      <c r="M19" s="305"/>
    </row>
    <row r="20" spans="2:13" ht="18" x14ac:dyDescent="0.25">
      <c r="B20" s="196" t="s">
        <v>71</v>
      </c>
      <c r="C20" s="197"/>
      <c r="D20" s="197"/>
      <c r="E20" s="197"/>
      <c r="F20" s="197"/>
      <c r="G20" s="545"/>
      <c r="H20" s="545"/>
      <c r="I20" s="714" t="s">
        <v>225</v>
      </c>
      <c r="J20" s="754"/>
      <c r="K20" s="754"/>
      <c r="L20" s="756"/>
      <c r="M20" s="561"/>
    </row>
    <row r="21" spans="2:13" x14ac:dyDescent="0.25">
      <c r="B21" s="198" t="s">
        <v>70</v>
      </c>
      <c r="C21" s="199">
        <v>6604.6547019999998</v>
      </c>
      <c r="D21" s="199">
        <v>4063.6057230000001</v>
      </c>
      <c r="E21" s="199">
        <v>3629.9440629999999</v>
      </c>
      <c r="F21" s="199">
        <v>3581.735271</v>
      </c>
      <c r="G21" s="199">
        <v>3561.6973419999999</v>
      </c>
      <c r="H21" s="199">
        <v>3586.8910390000001</v>
      </c>
      <c r="I21" s="199">
        <v>3888.9745039999998</v>
      </c>
      <c r="J21" s="199">
        <v>4064.2339860000002</v>
      </c>
      <c r="K21" s="199">
        <v>3779.8510980000001</v>
      </c>
      <c r="L21" s="566">
        <v>3865.9960590000001</v>
      </c>
      <c r="M21" s="294">
        <v>4110.370457</v>
      </c>
    </row>
    <row r="22" spans="2:13" x14ac:dyDescent="0.25">
      <c r="B22" s="198" t="s">
        <v>68</v>
      </c>
      <c r="C22" s="199">
        <v>8086.5616090000003</v>
      </c>
      <c r="D22" s="199">
        <v>5553.5794589999996</v>
      </c>
      <c r="E22" s="199">
        <v>5120.5433430000003</v>
      </c>
      <c r="F22" s="199">
        <v>5072.8914089999998</v>
      </c>
      <c r="G22" s="199">
        <v>5053.4596650000003</v>
      </c>
      <c r="H22" s="199">
        <v>5079.3462030000001</v>
      </c>
      <c r="I22" s="199">
        <v>5381.5716510000002</v>
      </c>
      <c r="J22" s="199">
        <v>5557.3076840000003</v>
      </c>
      <c r="K22" s="199">
        <v>5273.5551919999998</v>
      </c>
      <c r="L22" s="566">
        <v>5360.4137840000003</v>
      </c>
      <c r="M22" s="294">
        <v>5604.9866160000001</v>
      </c>
    </row>
    <row r="23" spans="2:13" x14ac:dyDescent="0.25">
      <c r="B23" s="198" t="s">
        <v>69</v>
      </c>
      <c r="C23" s="199">
        <v>42872.802524999999</v>
      </c>
      <c r="D23" s="199">
        <v>35101.069421</v>
      </c>
      <c r="E23" s="199">
        <v>32121.816442000003</v>
      </c>
      <c r="F23" s="199">
        <v>32000.992036</v>
      </c>
      <c r="G23" s="199">
        <v>31109.188495090908</v>
      </c>
      <c r="H23" s="199">
        <v>30466.186851000002</v>
      </c>
      <c r="I23" s="199">
        <v>31996.763878000002</v>
      </c>
      <c r="J23" s="199">
        <v>31178.187938999999</v>
      </c>
      <c r="K23" s="199">
        <v>31082.554315000001</v>
      </c>
      <c r="L23" s="566">
        <v>31336.371346</v>
      </c>
      <c r="M23" s="294">
        <v>31926.632594999999</v>
      </c>
    </row>
    <row r="24" spans="2:13" x14ac:dyDescent="0.25">
      <c r="B24" s="200" t="s">
        <v>73</v>
      </c>
      <c r="C24" s="201">
        <v>0.15405232018944159</v>
      </c>
      <c r="D24" s="201">
        <v>0.11576871559841584</v>
      </c>
      <c r="E24" s="201">
        <v>0.11300556646770965</v>
      </c>
      <c r="F24" s="201">
        <v>0.1119257573943543</v>
      </c>
      <c r="G24" s="201">
        <v>0.11449020415823585</v>
      </c>
      <c r="H24" s="201">
        <v>0.11773350752893011</v>
      </c>
      <c r="I24" s="201">
        <v>0.12154274472344186</v>
      </c>
      <c r="J24" s="201">
        <v>0.13035504160638386</v>
      </c>
      <c r="K24" s="201">
        <v>0.12160683641678371</v>
      </c>
      <c r="L24" s="567">
        <v>0.12337089117031681</v>
      </c>
      <c r="M24" s="293">
        <v>0.12874425277295676</v>
      </c>
    </row>
    <row r="25" spans="2:13" x14ac:dyDescent="0.25">
      <c r="B25" s="200" t="s">
        <v>74</v>
      </c>
      <c r="C25" s="201">
        <v>0.18861751816398198</v>
      </c>
      <c r="D25" s="201">
        <v>0.15821681648472644</v>
      </c>
      <c r="E25" s="201">
        <v>0.15941014270615075</v>
      </c>
      <c r="F25" s="201">
        <v>0.15852294214170529</v>
      </c>
      <c r="G25" s="201">
        <v>0.16244267078189603</v>
      </c>
      <c r="H25" s="201">
        <v>0.16672077237106811</v>
      </c>
      <c r="I25" s="201">
        <v>0.16819112306229833</v>
      </c>
      <c r="J25" s="201">
        <v>0.17824344682483956</v>
      </c>
      <c r="K25" s="201">
        <v>0.16966286420852666</v>
      </c>
      <c r="L25" s="567">
        <v>0.17106045000593989</v>
      </c>
      <c r="M25" s="293">
        <v>0.1755583398694478</v>
      </c>
    </row>
    <row r="26" spans="2:13" x14ac:dyDescent="0.25">
      <c r="B26" s="193"/>
      <c r="C26" s="193"/>
      <c r="D26" s="193"/>
      <c r="E26" s="193"/>
      <c r="F26" s="193"/>
      <c r="G26" s="544"/>
      <c r="H26" s="544"/>
      <c r="I26" s="544"/>
      <c r="J26" s="544"/>
      <c r="K26" s="544"/>
      <c r="L26" s="564"/>
      <c r="M26" s="305"/>
    </row>
    <row r="27" spans="2:13" x14ac:dyDescent="0.25">
      <c r="B27" s="193"/>
      <c r="C27" s="193"/>
      <c r="D27" s="193"/>
      <c r="E27" s="193"/>
      <c r="F27" s="193"/>
      <c r="G27" s="544"/>
      <c r="H27" s="544"/>
      <c r="I27" s="544"/>
      <c r="J27" s="544"/>
      <c r="K27" s="544"/>
      <c r="L27" s="564"/>
      <c r="M27" s="305"/>
    </row>
    <row r="28" spans="2:13" ht="24" customHeight="1" x14ac:dyDescent="0.25">
      <c r="B28" s="194" t="s">
        <v>408</v>
      </c>
      <c r="C28" s="195"/>
      <c r="D28" s="195"/>
      <c r="E28" s="195"/>
      <c r="F28" s="195"/>
      <c r="G28" s="195"/>
      <c r="H28" s="195"/>
      <c r="I28" s="195"/>
      <c r="J28" s="195"/>
      <c r="K28" s="195"/>
      <c r="L28" s="565"/>
      <c r="M28" s="307"/>
    </row>
    <row r="29" spans="2:13" x14ac:dyDescent="0.25">
      <c r="B29" s="196" t="s">
        <v>61</v>
      </c>
      <c r="C29" s="197"/>
      <c r="D29" s="197"/>
      <c r="E29" s="197"/>
      <c r="F29" s="197"/>
      <c r="G29" s="545"/>
      <c r="H29" s="545"/>
      <c r="I29" s="713"/>
      <c r="J29" s="753"/>
      <c r="K29" s="753"/>
      <c r="L29" s="755"/>
      <c r="M29" s="309"/>
    </row>
    <row r="30" spans="2:13" x14ac:dyDescent="0.25">
      <c r="B30" s="198" t="s">
        <v>70</v>
      </c>
      <c r="C30" s="199">
        <v>4193.0576099999998</v>
      </c>
      <c r="D30" s="199">
        <v>3229.1113380000002</v>
      </c>
      <c r="E30" s="199">
        <v>2442.4736560000001</v>
      </c>
      <c r="F30" s="199">
        <v>2705.9784460000001</v>
      </c>
      <c r="G30" s="199">
        <v>3050.6074239999998</v>
      </c>
      <c r="H30" s="199">
        <v>2954.5648000000001</v>
      </c>
      <c r="I30" s="199">
        <v>3269.5634300000002</v>
      </c>
      <c r="J30" s="199">
        <v>3544.5996759999998</v>
      </c>
      <c r="K30" s="199">
        <v>3779.8510980000001</v>
      </c>
      <c r="L30" s="566">
        <v>3865.9960590000001</v>
      </c>
      <c r="M30" s="294">
        <v>4110.370457</v>
      </c>
    </row>
    <row r="31" spans="2:13" x14ac:dyDescent="0.25">
      <c r="B31" s="198" t="s">
        <v>68</v>
      </c>
      <c r="C31" s="199">
        <v>5082.496067</v>
      </c>
      <c r="D31" s="199">
        <v>4719.0850739999996</v>
      </c>
      <c r="E31" s="199">
        <v>3933.072936</v>
      </c>
      <c r="F31" s="199">
        <v>4197.1345840000004</v>
      </c>
      <c r="G31" s="199">
        <v>4542.3697469999997</v>
      </c>
      <c r="H31" s="199">
        <v>4447.0199640000001</v>
      </c>
      <c r="I31" s="199">
        <v>4762.1605769999996</v>
      </c>
      <c r="J31" s="199">
        <v>5037.673374</v>
      </c>
      <c r="K31" s="199">
        <v>5273.5551919999998</v>
      </c>
      <c r="L31" s="566">
        <v>5360.4137840000003</v>
      </c>
      <c r="M31" s="294">
        <v>5604.9866160000001</v>
      </c>
    </row>
    <row r="32" spans="2:13" x14ac:dyDescent="0.25">
      <c r="B32" s="198" t="s">
        <v>69</v>
      </c>
      <c r="C32" s="199">
        <v>41473.998395000002</v>
      </c>
      <c r="D32" s="199">
        <v>36556.286552999998</v>
      </c>
      <c r="E32" s="199">
        <v>32262.948456999999</v>
      </c>
      <c r="F32" s="199">
        <v>31357.20263</v>
      </c>
      <c r="G32" s="199">
        <v>31217.726039000001</v>
      </c>
      <c r="H32" s="199">
        <v>31084.085474</v>
      </c>
      <c r="I32" s="199">
        <v>31434.699799000002</v>
      </c>
      <c r="J32" s="199">
        <v>30722.611790999999</v>
      </c>
      <c r="K32" s="199">
        <v>31082.554315000001</v>
      </c>
      <c r="L32" s="566">
        <v>31617.013011999999</v>
      </c>
      <c r="M32" s="294">
        <v>32172.703530999999</v>
      </c>
    </row>
    <row r="33" spans="2:13" x14ac:dyDescent="0.25">
      <c r="B33" s="200" t="s">
        <v>73</v>
      </c>
      <c r="C33" s="201">
        <v>0.10110087698960571</v>
      </c>
      <c r="D33" s="201">
        <v>8.8332586334182853E-2</v>
      </c>
      <c r="E33" s="201">
        <v>7.5705221401426617E-2</v>
      </c>
      <c r="F33" s="201">
        <v>8.629527569564327E-2</v>
      </c>
      <c r="G33" s="201">
        <v>9.7720359906705107E-2</v>
      </c>
      <c r="H33" s="201">
        <v>9.5050723061205031E-2</v>
      </c>
      <c r="I33" s="201">
        <v>0.10401128214699894</v>
      </c>
      <c r="J33" s="201">
        <v>0.11537429500178004</v>
      </c>
      <c r="K33" s="201">
        <v>0.12160683641678371</v>
      </c>
      <c r="L33" s="567">
        <v>0.12227581579362637</v>
      </c>
      <c r="M33" s="293">
        <v>0.12775956030675054</v>
      </c>
    </row>
    <row r="34" spans="2:13" x14ac:dyDescent="0.25">
      <c r="B34" s="200" t="s">
        <v>74</v>
      </c>
      <c r="C34" s="201">
        <v>0.12254656564805029</v>
      </c>
      <c r="D34" s="201">
        <v>0.12909093124538731</v>
      </c>
      <c r="E34" s="201">
        <v>0.12190680406169302</v>
      </c>
      <c r="F34" s="201">
        <v>0.13384913933567932</v>
      </c>
      <c r="G34" s="201">
        <v>0.14550610577225456</v>
      </c>
      <c r="H34" s="201">
        <v>0.14306420459819125</v>
      </c>
      <c r="I34" s="201">
        <v>0.15149375077383412</v>
      </c>
      <c r="J34" s="201">
        <v>0.16397282263208349</v>
      </c>
      <c r="K34" s="201">
        <v>0.16966286420852666</v>
      </c>
      <c r="L34" s="567">
        <v>0.16954206844161704</v>
      </c>
      <c r="M34" s="293">
        <v>0.17421559274927942</v>
      </c>
    </row>
    <row r="35" spans="2:13" x14ac:dyDescent="0.25">
      <c r="B35" s="193"/>
      <c r="C35" s="193"/>
      <c r="D35" s="193"/>
      <c r="E35" s="193"/>
      <c r="F35" s="193"/>
      <c r="G35" s="544"/>
      <c r="H35" s="544"/>
      <c r="I35" s="544"/>
      <c r="J35" s="544"/>
      <c r="K35" s="544"/>
      <c r="L35" s="564"/>
      <c r="M35" s="305"/>
    </row>
    <row r="36" spans="2:13" ht="18" x14ac:dyDescent="0.25">
      <c r="B36" s="196" t="s">
        <v>71</v>
      </c>
      <c r="C36" s="197"/>
      <c r="D36" s="197"/>
      <c r="E36" s="197"/>
      <c r="F36" s="197"/>
      <c r="G36" s="545"/>
      <c r="H36" s="545"/>
      <c r="I36" s="714" t="s">
        <v>225</v>
      </c>
      <c r="J36" s="754"/>
      <c r="K36" s="754"/>
      <c r="L36" s="756"/>
      <c r="M36" s="561"/>
    </row>
    <row r="37" spans="2:13" x14ac:dyDescent="0.25">
      <c r="B37" s="198" t="s">
        <v>70</v>
      </c>
      <c r="C37" s="199">
        <v>5687.9586099999997</v>
      </c>
      <c r="D37" s="199">
        <v>3229.1113380000002</v>
      </c>
      <c r="E37" s="199">
        <v>2795.4736560000001</v>
      </c>
      <c r="F37" s="199">
        <v>2705.9784460000001</v>
      </c>
      <c r="G37" s="199">
        <v>3050.6074239999998</v>
      </c>
      <c r="H37" s="199">
        <v>3067.3692050000004</v>
      </c>
      <c r="I37" s="199">
        <v>3366.0479930000001</v>
      </c>
      <c r="J37" s="199">
        <v>3544.5996759999998</v>
      </c>
      <c r="K37" s="199">
        <v>3779.8510980000001</v>
      </c>
      <c r="L37" s="566">
        <v>3865.9960590000001</v>
      </c>
      <c r="M37" s="294">
        <v>4110.370457</v>
      </c>
    </row>
    <row r="38" spans="2:13" x14ac:dyDescent="0.25">
      <c r="B38" s="198" t="s">
        <v>68</v>
      </c>
      <c r="C38" s="199">
        <v>7169.8655170000002</v>
      </c>
      <c r="D38" s="199">
        <v>4719.0850739999996</v>
      </c>
      <c r="E38" s="199">
        <v>4286.0729360000005</v>
      </c>
      <c r="F38" s="199">
        <v>4197.1345840000004</v>
      </c>
      <c r="G38" s="199">
        <v>4542.3697469999997</v>
      </c>
      <c r="H38" s="199">
        <v>4559.8243689999999</v>
      </c>
      <c r="I38" s="199">
        <v>4858.6451399999996</v>
      </c>
      <c r="J38" s="199">
        <v>5037.673374</v>
      </c>
      <c r="K38" s="199">
        <v>5273.5551919999998</v>
      </c>
      <c r="L38" s="566">
        <v>5360.4137840000003</v>
      </c>
      <c r="M38" s="294">
        <v>5604.9866160000001</v>
      </c>
    </row>
    <row r="39" spans="2:13" x14ac:dyDescent="0.25">
      <c r="B39" s="198" t="s">
        <v>69</v>
      </c>
      <c r="C39" s="199">
        <v>41956.251613</v>
      </c>
      <c r="D39" s="199">
        <v>34266.718341</v>
      </c>
      <c r="E39" s="199">
        <v>31287.474354999998</v>
      </c>
      <c r="F39" s="199">
        <v>31151.165348999999</v>
      </c>
      <c r="G39" s="199">
        <v>30656.816948090909</v>
      </c>
      <c r="H39" s="199">
        <v>30010.652888000001</v>
      </c>
      <c r="I39" s="199">
        <v>31539.952979999998</v>
      </c>
      <c r="J39" s="199">
        <v>30722.611790999999</v>
      </c>
      <c r="K39" s="199">
        <v>31082.554315000001</v>
      </c>
      <c r="L39" s="566">
        <v>31336.371346</v>
      </c>
      <c r="M39" s="294">
        <v>31926.632594999999</v>
      </c>
    </row>
    <row r="40" spans="2:13" x14ac:dyDescent="0.25">
      <c r="B40" s="200" t="s">
        <v>73</v>
      </c>
      <c r="C40" s="201">
        <v>0.13556879824406443</v>
      </c>
      <c r="D40" s="201">
        <v>9.4234624566787897E-2</v>
      </c>
      <c r="E40" s="201">
        <v>8.9348012699313972E-2</v>
      </c>
      <c r="F40" s="201">
        <v>8.6866042271091667E-2</v>
      </c>
      <c r="G40" s="201">
        <v>9.9508289760329147E-2</v>
      </c>
      <c r="H40" s="201">
        <v>0.10220934600948027</v>
      </c>
      <c r="I40" s="201">
        <v>0.10672330409415849</v>
      </c>
      <c r="J40" s="201">
        <v>0.11537429500178004</v>
      </c>
      <c r="K40" s="201">
        <v>0.12160683641678371</v>
      </c>
      <c r="L40" s="567">
        <v>0.12337089117031681</v>
      </c>
      <c r="M40" s="293">
        <v>0.12874425277295676</v>
      </c>
    </row>
    <row r="41" spans="2:13" x14ac:dyDescent="0.25">
      <c r="B41" s="200" t="s">
        <v>74</v>
      </c>
      <c r="C41" s="201">
        <v>0.17088908664039096</v>
      </c>
      <c r="D41" s="201">
        <v>0.13771628280942305</v>
      </c>
      <c r="E41" s="201">
        <v>0.13699005830155961</v>
      </c>
      <c r="F41" s="201">
        <v>0.13473443246753961</v>
      </c>
      <c r="G41" s="201">
        <v>0.14816834228717493</v>
      </c>
      <c r="H41" s="201">
        <v>0.1519401922383129</v>
      </c>
      <c r="I41" s="201">
        <v>0.1540473171624874</v>
      </c>
      <c r="J41" s="201">
        <v>0.16397282263208349</v>
      </c>
      <c r="K41" s="201">
        <v>0.16966286420852666</v>
      </c>
      <c r="L41" s="567">
        <v>0.17106045000593989</v>
      </c>
      <c r="M41" s="293">
        <v>0.1755583398694478</v>
      </c>
    </row>
    <row r="43" spans="2:13" ht="29.25" customHeight="1" x14ac:dyDescent="0.25">
      <c r="B43" s="962" t="s">
        <v>75</v>
      </c>
      <c r="C43" s="961"/>
      <c r="D43" s="961"/>
      <c r="E43" s="961"/>
      <c r="F43" s="961"/>
      <c r="G43" s="961"/>
      <c r="H43" s="961"/>
      <c r="I43" s="961"/>
      <c r="J43" s="961"/>
      <c r="K43" s="961"/>
      <c r="L43" s="961"/>
      <c r="M43" s="961"/>
    </row>
    <row r="44" spans="2:13" ht="150" customHeight="1" x14ac:dyDescent="0.25">
      <c r="B44" s="960" t="s">
        <v>285</v>
      </c>
      <c r="C44" s="961"/>
      <c r="D44" s="961"/>
      <c r="E44" s="961"/>
      <c r="F44" s="961"/>
      <c r="G44" s="961"/>
      <c r="H44" s="961"/>
      <c r="I44" s="961"/>
      <c r="J44" s="961"/>
      <c r="K44" s="961"/>
      <c r="L44" s="961"/>
      <c r="M44" s="961"/>
    </row>
  </sheetData>
  <mergeCells count="3">
    <mergeCell ref="B5:M5"/>
    <mergeCell ref="B44:M44"/>
    <mergeCell ref="B43:M43"/>
  </mergeCells>
  <hyperlinks>
    <hyperlink ref="M2" location="'Cover '!A1" display="Back to Cover" xr:uid="{00000000-0004-0000-0700-000000000000}"/>
  </hyperlinks>
  <printOptions horizontalCentered="1" verticalCentered="1"/>
  <pageMargins left="0" right="0" top="0" bottom="0" header="0" footer="0"/>
  <pageSetup paperSize="8" scale="3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U59"/>
  <sheetViews>
    <sheetView showGridLines="0" view="pageBreakPreview" zoomScale="80" zoomScaleNormal="80" zoomScaleSheetLayoutView="80" workbookViewId="0">
      <pane xSplit="2" ySplit="10" topLeftCell="C11" activePane="bottomRight" state="frozen"/>
      <selection pane="topRight" activeCell="C1" sqref="C1"/>
      <selection pane="bottomLeft" activeCell="A11" sqref="A11"/>
      <selection pane="bottomRight" activeCell="M44" sqref="M44"/>
    </sheetView>
  </sheetViews>
  <sheetFormatPr defaultColWidth="9.140625" defaultRowHeight="12.75" x14ac:dyDescent="0.2"/>
  <cols>
    <col min="1" max="1" width="2.42578125" style="4" customWidth="1"/>
    <col min="2" max="2" width="44.140625" style="4" customWidth="1"/>
    <col min="3" max="13" width="15.140625" style="6" customWidth="1"/>
    <col min="14" max="14" width="2.42578125" style="6" customWidth="1"/>
    <col min="15" max="15" width="12.42578125" style="6" bestFit="1" customWidth="1"/>
    <col min="16" max="17" width="9.140625" style="6"/>
    <col min="18" max="18" width="13.85546875" style="6" customWidth="1"/>
    <col min="19" max="16384" width="9.140625" style="6"/>
  </cols>
  <sheetData>
    <row r="1" spans="1:21" ht="15.75" customHeight="1" x14ac:dyDescent="0.2">
      <c r="C1" s="9"/>
      <c r="D1" s="9"/>
      <c r="E1" s="9"/>
      <c r="F1" s="9"/>
      <c r="G1" s="9"/>
      <c r="H1" s="9"/>
      <c r="I1" s="9"/>
      <c r="J1" s="9"/>
      <c r="K1" s="9"/>
      <c r="L1" s="9"/>
      <c r="M1" s="9"/>
    </row>
    <row r="2" spans="1:21" ht="15.75" customHeight="1" x14ac:dyDescent="0.2">
      <c r="C2" s="32"/>
      <c r="D2" s="32"/>
      <c r="E2" s="32"/>
      <c r="F2" s="32"/>
      <c r="G2" s="32"/>
      <c r="H2" s="32"/>
      <c r="I2" s="32"/>
      <c r="J2" s="32"/>
      <c r="K2" s="32"/>
      <c r="L2" s="32"/>
      <c r="M2" s="32" t="s">
        <v>21</v>
      </c>
    </row>
    <row r="3" spans="1:21" ht="15.75" customHeight="1" x14ac:dyDescent="0.2">
      <c r="C3" s="9"/>
      <c r="D3" s="9"/>
      <c r="E3" s="9"/>
      <c r="F3" s="9"/>
      <c r="G3" s="9"/>
      <c r="H3" s="9"/>
      <c r="I3" s="9"/>
      <c r="J3" s="9"/>
      <c r="K3" s="9"/>
      <c r="L3" s="9"/>
      <c r="M3" s="9"/>
    </row>
    <row r="4" spans="1:21" ht="15.75" customHeight="1" x14ac:dyDescent="0.2">
      <c r="C4" s="9"/>
      <c r="D4" s="9"/>
      <c r="E4" s="9"/>
      <c r="F4" s="9"/>
      <c r="G4" s="9"/>
      <c r="H4" s="9"/>
      <c r="I4" s="9"/>
      <c r="J4" s="9"/>
      <c r="K4" s="9"/>
      <c r="L4" s="9"/>
      <c r="M4" s="9"/>
    </row>
    <row r="5" spans="1:21" s="9" customFormat="1" ht="26.25" x14ac:dyDescent="0.2">
      <c r="A5" s="74"/>
      <c r="B5" s="958" t="s">
        <v>17</v>
      </c>
      <c r="C5" s="958"/>
      <c r="D5" s="958"/>
      <c r="E5" s="958"/>
      <c r="F5" s="958"/>
      <c r="G5" s="958"/>
      <c r="H5" s="958"/>
      <c r="I5" s="958"/>
      <c r="J5" s="958"/>
      <c r="K5" s="958"/>
      <c r="L5" s="958"/>
      <c r="M5" s="958"/>
    </row>
    <row r="6" spans="1:21" s="82" customFormat="1" ht="12" customHeight="1" x14ac:dyDescent="0.2">
      <c r="A6" s="74"/>
      <c r="B6" s="76"/>
      <c r="C6" s="119"/>
      <c r="D6" s="119"/>
      <c r="E6" s="119"/>
      <c r="F6" s="119"/>
      <c r="G6" s="119"/>
      <c r="H6" s="119"/>
      <c r="I6" s="119"/>
      <c r="J6" s="119"/>
      <c r="K6" s="119"/>
      <c r="L6" s="119"/>
      <c r="M6" s="119"/>
    </row>
    <row r="7" spans="1:21" ht="12" customHeight="1" x14ac:dyDescent="0.2">
      <c r="C7" s="207"/>
      <c r="D7" s="210"/>
      <c r="E7" s="211"/>
      <c r="F7" s="223"/>
      <c r="G7" s="223"/>
      <c r="H7" s="223"/>
      <c r="I7" s="223"/>
      <c r="J7" s="223"/>
      <c r="K7" s="223"/>
      <c r="L7" s="223"/>
      <c r="M7" s="126"/>
    </row>
    <row r="8" spans="1:21" ht="12" customHeight="1" x14ac:dyDescent="0.2">
      <c r="C8" s="207"/>
      <c r="D8" s="210"/>
      <c r="E8" s="211"/>
      <c r="F8" s="223"/>
      <c r="G8" s="223"/>
      <c r="H8" s="223"/>
      <c r="I8" s="223"/>
      <c r="J8" s="223"/>
      <c r="K8" s="223"/>
      <c r="L8" s="223"/>
      <c r="M8" s="126"/>
    </row>
    <row r="9" spans="1:21" ht="5.25" customHeight="1" x14ac:dyDescent="0.2">
      <c r="C9" s="9"/>
      <c r="D9" s="9"/>
      <c r="E9" s="9"/>
      <c r="F9" s="9"/>
      <c r="G9" s="9"/>
      <c r="H9" s="9"/>
      <c r="I9" s="9"/>
      <c r="J9" s="9"/>
      <c r="K9" s="9"/>
      <c r="L9" s="9"/>
      <c r="M9" s="9"/>
    </row>
    <row r="10" spans="1:21" ht="31.5" customHeight="1" x14ac:dyDescent="0.2">
      <c r="B10" s="93" t="s">
        <v>438</v>
      </c>
      <c r="C10" s="149">
        <v>44286</v>
      </c>
      <c r="D10" s="149">
        <v>44377</v>
      </c>
      <c r="E10" s="149">
        <v>44469</v>
      </c>
      <c r="F10" s="149">
        <v>44561</v>
      </c>
      <c r="G10" s="522">
        <v>44651</v>
      </c>
      <c r="H10" s="522">
        <v>44742</v>
      </c>
      <c r="I10" s="522">
        <v>44834</v>
      </c>
      <c r="J10" s="522">
        <v>44926</v>
      </c>
      <c r="K10" s="522">
        <v>45016</v>
      </c>
      <c r="L10" s="522">
        <v>45107</v>
      </c>
      <c r="M10" s="834">
        <v>45199</v>
      </c>
    </row>
    <row r="11" spans="1:21" ht="20.25" customHeight="1" x14ac:dyDescent="0.2">
      <c r="B11" s="145" t="s">
        <v>56</v>
      </c>
      <c r="C11" s="140">
        <v>496</v>
      </c>
      <c r="D11" s="140">
        <v>490</v>
      </c>
      <c r="E11" s="140">
        <v>430</v>
      </c>
      <c r="F11" s="320">
        <v>430</v>
      </c>
      <c r="G11" s="320">
        <v>428</v>
      </c>
      <c r="H11" s="320">
        <v>424</v>
      </c>
      <c r="I11" s="320">
        <v>419</v>
      </c>
      <c r="J11" s="320">
        <v>405</v>
      </c>
      <c r="K11" s="320">
        <v>403</v>
      </c>
      <c r="L11" s="320">
        <v>403</v>
      </c>
      <c r="M11" s="835">
        <v>402</v>
      </c>
    </row>
    <row r="12" spans="1:21" ht="21" customHeight="1" x14ac:dyDescent="0.2">
      <c r="B12" s="146" t="s">
        <v>10</v>
      </c>
      <c r="C12" s="172">
        <v>480</v>
      </c>
      <c r="D12" s="172">
        <v>474</v>
      </c>
      <c r="E12" s="172">
        <v>414</v>
      </c>
      <c r="F12" s="321">
        <v>414</v>
      </c>
      <c r="G12" s="321">
        <v>412</v>
      </c>
      <c r="H12" s="321">
        <v>408</v>
      </c>
      <c r="I12" s="321">
        <v>403</v>
      </c>
      <c r="J12" s="321">
        <v>389</v>
      </c>
      <c r="K12" s="321">
        <v>387</v>
      </c>
      <c r="L12" s="321">
        <v>387</v>
      </c>
      <c r="M12" s="836">
        <v>386</v>
      </c>
    </row>
    <row r="13" spans="1:21" ht="21" customHeight="1" x14ac:dyDescent="0.2">
      <c r="B13" s="147" t="s">
        <v>11</v>
      </c>
      <c r="C13" s="173">
        <v>16</v>
      </c>
      <c r="D13" s="173">
        <v>16</v>
      </c>
      <c r="E13" s="173">
        <v>16</v>
      </c>
      <c r="F13" s="321">
        <v>16</v>
      </c>
      <c r="G13" s="321">
        <v>16</v>
      </c>
      <c r="H13" s="321">
        <v>16</v>
      </c>
      <c r="I13" s="321">
        <v>16</v>
      </c>
      <c r="J13" s="321">
        <v>16</v>
      </c>
      <c r="K13" s="321">
        <v>16</v>
      </c>
      <c r="L13" s="321">
        <v>16</v>
      </c>
      <c r="M13" s="836">
        <v>16</v>
      </c>
    </row>
    <row r="14" spans="1:21" ht="18" customHeight="1" x14ac:dyDescent="0.2">
      <c r="B14" s="205"/>
      <c r="C14" s="206"/>
      <c r="D14" s="206"/>
      <c r="E14" s="206"/>
      <c r="F14" s="322"/>
      <c r="G14" s="523"/>
      <c r="H14" s="523"/>
      <c r="I14" s="523"/>
      <c r="J14" s="523"/>
      <c r="K14" s="523"/>
      <c r="L14" s="523"/>
      <c r="M14" s="837"/>
      <c r="P14" s="553"/>
      <c r="Q14" s="555"/>
      <c r="R14" s="555"/>
      <c r="S14" s="555"/>
      <c r="T14" s="555"/>
      <c r="U14" s="12"/>
    </row>
    <row r="15" spans="1:21" ht="18" customHeight="1" x14ac:dyDescent="0.2">
      <c r="B15" s="148" t="s">
        <v>40</v>
      </c>
      <c r="C15" s="177">
        <v>0</v>
      </c>
      <c r="D15" s="177">
        <v>0</v>
      </c>
      <c r="E15" s="177">
        <v>0</v>
      </c>
      <c r="F15" s="323">
        <v>0</v>
      </c>
      <c r="G15" s="323">
        <v>0</v>
      </c>
      <c r="H15" s="323">
        <v>0</v>
      </c>
      <c r="I15" s="323">
        <v>0</v>
      </c>
      <c r="J15" s="742">
        <v>0</v>
      </c>
      <c r="K15" s="742">
        <v>0</v>
      </c>
      <c r="L15" s="742">
        <v>0</v>
      </c>
      <c r="M15" s="838">
        <v>0</v>
      </c>
      <c r="P15" s="553"/>
      <c r="Q15" s="554"/>
      <c r="R15" s="554"/>
      <c r="S15" s="554"/>
      <c r="T15" s="554"/>
    </row>
    <row r="16" spans="1:21" x14ac:dyDescent="0.2">
      <c r="C16" s="10"/>
      <c r="D16" s="10"/>
      <c r="E16" s="10"/>
      <c r="F16" s="10"/>
      <c r="G16" s="10"/>
      <c r="H16" s="10"/>
      <c r="I16" s="10"/>
      <c r="J16" s="10"/>
      <c r="K16" s="10"/>
      <c r="L16" s="10"/>
      <c r="M16" s="10"/>
    </row>
    <row r="17" spans="1:17" x14ac:dyDescent="0.2">
      <c r="C17" s="10"/>
      <c r="D17" s="10"/>
      <c r="E17" s="10"/>
      <c r="F17" s="10"/>
      <c r="G17" s="10"/>
      <c r="H17" s="10"/>
      <c r="I17" s="10"/>
      <c r="J17" s="10"/>
      <c r="K17" s="10"/>
      <c r="L17" s="10"/>
      <c r="M17" s="10"/>
    </row>
    <row r="18" spans="1:17" ht="31.5" customHeight="1" x14ac:dyDescent="0.2">
      <c r="B18" s="93" t="s">
        <v>435</v>
      </c>
      <c r="C18" s="149">
        <v>44286</v>
      </c>
      <c r="D18" s="149">
        <v>44377</v>
      </c>
      <c r="E18" s="149">
        <v>44469</v>
      </c>
      <c r="F18" s="149">
        <v>44561</v>
      </c>
      <c r="G18" s="522">
        <v>44651</v>
      </c>
      <c r="H18" s="522">
        <v>44742</v>
      </c>
      <c r="I18" s="522">
        <v>44834</v>
      </c>
      <c r="J18" s="522">
        <v>44926</v>
      </c>
      <c r="K18" s="522">
        <v>45016</v>
      </c>
      <c r="L18" s="522">
        <v>45107</v>
      </c>
      <c r="M18" s="834">
        <v>45199</v>
      </c>
    </row>
    <row r="19" spans="1:17" s="12" customFormat="1" ht="21" customHeight="1" x14ac:dyDescent="0.2">
      <c r="A19" s="11"/>
      <c r="B19" s="145" t="s">
        <v>15</v>
      </c>
      <c r="C19" s="171">
        <v>11170.6</v>
      </c>
      <c r="D19" s="171">
        <v>11067.6</v>
      </c>
      <c r="E19" s="171">
        <v>10703.35</v>
      </c>
      <c r="F19" s="324">
        <v>10424.65</v>
      </c>
      <c r="G19" s="324">
        <v>10354.700000000001</v>
      </c>
      <c r="H19" s="324">
        <v>10262.700000000001</v>
      </c>
      <c r="I19" s="324">
        <v>9417.7659999999996</v>
      </c>
      <c r="J19" s="324">
        <v>8676.1509999999998</v>
      </c>
      <c r="K19" s="324">
        <v>8801.0709999999999</v>
      </c>
      <c r="L19" s="324">
        <v>8897.2250000000004</v>
      </c>
      <c r="M19" s="839">
        <v>8572.158179</v>
      </c>
      <c r="P19" s="873"/>
    </row>
    <row r="20" spans="1:17" ht="21" customHeight="1" x14ac:dyDescent="0.2">
      <c r="B20" s="150" t="s">
        <v>56</v>
      </c>
      <c r="C20" s="140">
        <v>10219.1</v>
      </c>
      <c r="D20" s="140">
        <v>10132.1</v>
      </c>
      <c r="E20" s="140">
        <v>9764.35</v>
      </c>
      <c r="F20" s="320">
        <v>9270.15</v>
      </c>
      <c r="G20" s="320">
        <v>9251.7000000000007</v>
      </c>
      <c r="H20" s="320">
        <v>9205.7000000000007</v>
      </c>
      <c r="I20" s="320">
        <v>9057.7659999999996</v>
      </c>
      <c r="J20" s="320">
        <v>8604.1509999999998</v>
      </c>
      <c r="K20" s="320">
        <v>8741.0709999999999</v>
      </c>
      <c r="L20" s="320">
        <v>8829.2250000000004</v>
      </c>
      <c r="M20" s="835">
        <v>8537.158179</v>
      </c>
    </row>
    <row r="21" spans="1:17" ht="21" customHeight="1" x14ac:dyDescent="0.2">
      <c r="A21" s="6"/>
      <c r="B21" s="147" t="s">
        <v>10</v>
      </c>
      <c r="C21" s="140">
        <v>9866</v>
      </c>
      <c r="D21" s="140">
        <v>9793</v>
      </c>
      <c r="E21" s="140">
        <v>9411</v>
      </c>
      <c r="F21" s="320">
        <v>8904</v>
      </c>
      <c r="G21" s="320">
        <v>8879.6</v>
      </c>
      <c r="H21" s="320">
        <v>8838.6</v>
      </c>
      <c r="I21" s="320">
        <v>8720.81</v>
      </c>
      <c r="J21" s="320">
        <v>8270.8050000000003</v>
      </c>
      <c r="K21" s="320">
        <v>8236.4750000000004</v>
      </c>
      <c r="L21" s="320">
        <v>8233.375</v>
      </c>
      <c r="M21" s="835">
        <v>8166.375</v>
      </c>
      <c r="O21" s="640"/>
    </row>
    <row r="22" spans="1:17" ht="21" customHeight="1" x14ac:dyDescent="0.2">
      <c r="A22" s="6"/>
      <c r="B22" s="178" t="s">
        <v>44</v>
      </c>
      <c r="C22" s="136">
        <v>9492</v>
      </c>
      <c r="D22" s="136">
        <v>9421</v>
      </c>
      <c r="E22" s="136">
        <v>9045</v>
      </c>
      <c r="F22" s="325">
        <v>8583</v>
      </c>
      <c r="G22" s="325">
        <v>8546.6</v>
      </c>
      <c r="H22" s="325">
        <v>8506.6</v>
      </c>
      <c r="I22" s="325">
        <v>8391.6</v>
      </c>
      <c r="J22" s="325">
        <v>7933.6</v>
      </c>
      <c r="K22" s="325">
        <v>7841.1</v>
      </c>
      <c r="L22" s="325">
        <v>7821.1</v>
      </c>
      <c r="M22" s="840">
        <v>7802.1</v>
      </c>
    </row>
    <row r="23" spans="1:17" ht="21" customHeight="1" x14ac:dyDescent="0.2">
      <c r="A23" s="6"/>
      <c r="B23" s="179" t="s">
        <v>16</v>
      </c>
      <c r="C23" s="183">
        <v>374</v>
      </c>
      <c r="D23" s="183">
        <v>372</v>
      </c>
      <c r="E23" s="183">
        <v>366</v>
      </c>
      <c r="F23" s="326">
        <v>321</v>
      </c>
      <c r="G23" s="326">
        <v>333</v>
      </c>
      <c r="H23" s="326">
        <v>332</v>
      </c>
      <c r="I23" s="326">
        <v>329.21</v>
      </c>
      <c r="J23" s="326">
        <v>337.20499999999998</v>
      </c>
      <c r="K23" s="326">
        <v>395.375</v>
      </c>
      <c r="L23" s="326">
        <v>412.27499999999998</v>
      </c>
      <c r="M23" s="841">
        <v>364.27499999999998</v>
      </c>
    </row>
    <row r="24" spans="1:17" ht="21" customHeight="1" x14ac:dyDescent="0.2">
      <c r="B24" s="147" t="s">
        <v>49</v>
      </c>
      <c r="C24" s="140">
        <v>353.09999999999997</v>
      </c>
      <c r="D24" s="140">
        <v>339.09999999999997</v>
      </c>
      <c r="E24" s="140">
        <v>353.34999999999997</v>
      </c>
      <c r="F24" s="320">
        <v>366.15</v>
      </c>
      <c r="G24" s="320">
        <v>372.09999999999997</v>
      </c>
      <c r="H24" s="320">
        <v>367.09999999999997</v>
      </c>
      <c r="I24" s="320">
        <v>336.95600000000002</v>
      </c>
      <c r="J24" s="320">
        <v>333.34599999999995</v>
      </c>
      <c r="K24" s="320">
        <v>504.59599999999995</v>
      </c>
      <c r="L24" s="320">
        <v>595.85</v>
      </c>
      <c r="M24" s="835">
        <v>370.7831789999999</v>
      </c>
      <c r="Q24" s="640"/>
    </row>
    <row r="25" spans="1:17" ht="21" customHeight="1" x14ac:dyDescent="0.2">
      <c r="B25" s="151" t="s">
        <v>57</v>
      </c>
      <c r="C25" s="136">
        <v>0</v>
      </c>
      <c r="D25" s="136">
        <v>0</v>
      </c>
      <c r="E25" s="136">
        <v>0</v>
      </c>
      <c r="F25" s="325">
        <v>223</v>
      </c>
      <c r="G25" s="325">
        <v>161</v>
      </c>
      <c r="H25" s="325">
        <v>128</v>
      </c>
      <c r="I25" s="325">
        <v>198</v>
      </c>
      <c r="J25" s="325">
        <v>54</v>
      </c>
      <c r="K25" s="325">
        <v>43</v>
      </c>
      <c r="L25" s="325">
        <v>52</v>
      </c>
      <c r="M25" s="840">
        <v>35</v>
      </c>
      <c r="O25" s="31"/>
    </row>
    <row r="26" spans="1:17" ht="21" customHeight="1" x14ac:dyDescent="0.2">
      <c r="B26" s="180" t="s">
        <v>247</v>
      </c>
      <c r="C26" s="141">
        <v>951.5</v>
      </c>
      <c r="D26" s="141">
        <v>935.5</v>
      </c>
      <c r="E26" s="141">
        <v>939</v>
      </c>
      <c r="F26" s="327">
        <v>931.5</v>
      </c>
      <c r="G26" s="327">
        <v>942</v>
      </c>
      <c r="H26" s="327">
        <v>929</v>
      </c>
      <c r="I26" s="327">
        <v>162</v>
      </c>
      <c r="J26" s="743">
        <v>18</v>
      </c>
      <c r="K26" s="743">
        <v>17</v>
      </c>
      <c r="L26" s="743">
        <v>16</v>
      </c>
      <c r="M26" s="842">
        <v>0</v>
      </c>
    </row>
    <row r="27" spans="1:17" ht="18" customHeight="1" x14ac:dyDescent="0.2">
      <c r="B27" s="181"/>
      <c r="C27" s="175"/>
      <c r="D27" s="175"/>
      <c r="E27" s="175"/>
      <c r="F27" s="174"/>
      <c r="G27" s="174"/>
      <c r="H27" s="174"/>
      <c r="I27" s="174"/>
      <c r="J27" s="174"/>
      <c r="K27" s="174"/>
      <c r="L27" s="174"/>
      <c r="M27" s="843"/>
    </row>
    <row r="28" spans="1:17" ht="18" customHeight="1" x14ac:dyDescent="0.2">
      <c r="B28" s="182" t="str">
        <f>+B25</f>
        <v>Discontinued &amp; held for sale operations</v>
      </c>
      <c r="C28" s="177">
        <v>951.5</v>
      </c>
      <c r="D28" s="177">
        <v>935.5</v>
      </c>
      <c r="E28" s="177">
        <v>939</v>
      </c>
      <c r="F28" s="323">
        <v>1154.5</v>
      </c>
      <c r="G28" s="323">
        <v>1103</v>
      </c>
      <c r="H28" s="323">
        <v>1057</v>
      </c>
      <c r="I28" s="323">
        <v>360</v>
      </c>
      <c r="J28" s="742">
        <v>72</v>
      </c>
      <c r="K28" s="742">
        <v>60</v>
      </c>
      <c r="L28" s="742">
        <v>68</v>
      </c>
      <c r="M28" s="838">
        <v>35</v>
      </c>
    </row>
    <row r="29" spans="1:17" ht="12.75" customHeight="1" x14ac:dyDescent="0.2">
      <c r="B29" s="49"/>
      <c r="C29" s="64"/>
      <c r="D29" s="64"/>
      <c r="E29" s="64"/>
      <c r="F29" s="64"/>
      <c r="G29" s="64"/>
      <c r="H29" s="64"/>
      <c r="I29" s="64"/>
      <c r="J29" s="64"/>
      <c r="K29" s="64"/>
      <c r="L29" s="64"/>
      <c r="M29" s="64"/>
    </row>
    <row r="30" spans="1:17" s="13" customFormat="1" ht="12.75" customHeight="1" x14ac:dyDescent="0.25">
      <c r="B30" s="14"/>
      <c r="C30" s="120"/>
      <c r="D30" s="120"/>
      <c r="E30" s="120"/>
      <c r="F30" s="120"/>
      <c r="G30" s="120"/>
      <c r="H30" s="120"/>
      <c r="I30" s="120"/>
      <c r="J30" s="120"/>
      <c r="K30" s="120"/>
      <c r="L30" s="120"/>
      <c r="M30" s="120"/>
    </row>
    <row r="31" spans="1:17" ht="31.5" customHeight="1" x14ac:dyDescent="0.2">
      <c r="B31" s="93" t="s">
        <v>436</v>
      </c>
      <c r="C31" s="117">
        <v>44286</v>
      </c>
      <c r="D31" s="117">
        <v>44377</v>
      </c>
      <c r="E31" s="117">
        <v>44469</v>
      </c>
      <c r="F31" s="117">
        <v>44561</v>
      </c>
      <c r="G31" s="365">
        <v>44651</v>
      </c>
      <c r="H31" s="365">
        <v>44742</v>
      </c>
      <c r="I31" s="365">
        <v>44834</v>
      </c>
      <c r="J31" s="365">
        <v>44926</v>
      </c>
      <c r="K31" s="365">
        <v>45016</v>
      </c>
      <c r="L31" s="330">
        <v>45107</v>
      </c>
      <c r="M31" s="226">
        <v>45199</v>
      </c>
      <c r="O31" s="425"/>
    </row>
    <row r="32" spans="1:17" s="13" customFormat="1" ht="30" customHeight="1" x14ac:dyDescent="0.25">
      <c r="B32" s="169" t="s">
        <v>41</v>
      </c>
      <c r="C32" s="1">
        <v>831059164</v>
      </c>
      <c r="D32" s="1">
        <v>1250367223</v>
      </c>
      <c r="E32" s="1">
        <v>1250367223</v>
      </c>
      <c r="F32" s="325">
        <v>1250367223</v>
      </c>
      <c r="G32" s="325">
        <v>1250367223</v>
      </c>
      <c r="H32" s="325">
        <v>1250367223</v>
      </c>
      <c r="I32" s="325">
        <v>1250367223</v>
      </c>
      <c r="J32" s="325">
        <v>1250367223</v>
      </c>
      <c r="K32" s="325">
        <v>1250367223</v>
      </c>
      <c r="L32" s="233">
        <v>1250367223</v>
      </c>
      <c r="M32" s="231">
        <v>1250367223</v>
      </c>
    </row>
    <row r="33" spans="1:18" s="13" customFormat="1" ht="31.5" x14ac:dyDescent="0.25">
      <c r="B33" s="169" t="s">
        <v>42</v>
      </c>
      <c r="C33" s="1">
        <v>830729018.33333242</v>
      </c>
      <c r="D33" s="1">
        <v>433269267.36129332</v>
      </c>
      <c r="E33" s="1">
        <v>724463487.96537411</v>
      </c>
      <c r="F33" s="325">
        <v>859533251</v>
      </c>
      <c r="G33" s="325">
        <v>1249734974</v>
      </c>
      <c r="H33" s="325">
        <v>1249851815</v>
      </c>
      <c r="I33" s="325">
        <v>1249714515.635139</v>
      </c>
      <c r="J33" s="325">
        <v>1249647205.3540332</v>
      </c>
      <c r="K33" s="325">
        <v>1250020909.8142855</v>
      </c>
      <c r="L33" s="233">
        <v>1250054238.8295112</v>
      </c>
      <c r="M33" s="231">
        <v>1249777043.4871008</v>
      </c>
      <c r="O33" s="15"/>
    </row>
    <row r="34" spans="1:18" s="13" customFormat="1" ht="31.5" x14ac:dyDescent="0.25">
      <c r="B34" s="170" t="s">
        <v>43</v>
      </c>
      <c r="C34" s="132">
        <v>830729018.33333242</v>
      </c>
      <c r="D34" s="132">
        <v>433269267.36129332</v>
      </c>
      <c r="E34" s="132">
        <v>724463487.96537411</v>
      </c>
      <c r="F34" s="328">
        <v>859533251</v>
      </c>
      <c r="G34" s="328">
        <v>1249734974</v>
      </c>
      <c r="H34" s="327">
        <v>1249851815</v>
      </c>
      <c r="I34" s="328">
        <v>1249714515.635139</v>
      </c>
      <c r="J34" s="744">
        <v>1249647205.3540332</v>
      </c>
      <c r="K34" s="744">
        <v>1250020909.8142855</v>
      </c>
      <c r="L34" s="752">
        <v>1250054238.8295112</v>
      </c>
      <c r="M34" s="232">
        <v>1249777043.4871008</v>
      </c>
    </row>
    <row r="35" spans="1:18" s="13" customFormat="1" ht="10.5" customHeight="1" x14ac:dyDescent="0.25">
      <c r="C35" s="15"/>
      <c r="D35" s="15"/>
      <c r="E35" s="15"/>
      <c r="F35" s="15"/>
      <c r="G35" s="15"/>
      <c r="H35" s="15"/>
      <c r="I35" s="15"/>
      <c r="J35" s="15"/>
      <c r="K35" s="15"/>
      <c r="L35" s="15"/>
      <c r="M35" s="15"/>
    </row>
    <row r="36" spans="1:18" s="13" customFormat="1" ht="15.75" customHeight="1" x14ac:dyDescent="0.25">
      <c r="B36" s="49" t="s">
        <v>76</v>
      </c>
      <c r="C36" s="15"/>
      <c r="D36" s="15"/>
      <c r="E36" s="15"/>
      <c r="F36" s="15"/>
      <c r="G36" s="15"/>
      <c r="H36" s="15"/>
      <c r="I36" s="15"/>
      <c r="J36" s="15"/>
      <c r="K36" s="15"/>
      <c r="L36" s="15"/>
      <c r="M36" s="15"/>
    </row>
    <row r="37" spans="1:18" s="13" customFormat="1" ht="15.75" customHeight="1" x14ac:dyDescent="0.25">
      <c r="B37" s="49" t="s">
        <v>9</v>
      </c>
      <c r="C37" s="15"/>
      <c r="D37" s="15"/>
      <c r="E37" s="15"/>
      <c r="F37" s="15"/>
      <c r="G37" s="15"/>
      <c r="H37" s="15"/>
      <c r="I37" s="15"/>
      <c r="J37" s="15"/>
      <c r="K37" s="15"/>
      <c r="L37" s="15"/>
      <c r="M37" s="15"/>
    </row>
    <row r="38" spans="1:18" s="13" customFormat="1" ht="15.75" customHeight="1" x14ac:dyDescent="0.25">
      <c r="A38" s="5"/>
      <c r="B38" s="44" t="s">
        <v>50</v>
      </c>
      <c r="C38" s="16"/>
      <c r="D38" s="16"/>
      <c r="E38" s="16"/>
      <c r="F38" s="16"/>
      <c r="G38" s="16"/>
      <c r="H38" s="16"/>
      <c r="I38" s="16"/>
      <c r="J38" s="16"/>
      <c r="K38" s="16"/>
      <c r="L38" s="16"/>
      <c r="M38" s="16"/>
    </row>
    <row r="39" spans="1:18" s="13" customFormat="1" ht="15.75" customHeight="1" x14ac:dyDescent="0.25">
      <c r="A39" s="5"/>
      <c r="B39" s="44" t="s">
        <v>82</v>
      </c>
      <c r="C39" s="16"/>
      <c r="D39" s="16"/>
      <c r="E39" s="16"/>
      <c r="F39" s="16"/>
      <c r="G39" s="16"/>
      <c r="H39" s="16"/>
      <c r="I39" s="16"/>
      <c r="J39" s="16"/>
      <c r="K39" s="16"/>
      <c r="L39" s="16"/>
      <c r="M39" s="16"/>
    </row>
    <row r="40" spans="1:18" s="13" customFormat="1" ht="15.75" customHeight="1" x14ac:dyDescent="0.25">
      <c r="A40" s="5"/>
      <c r="B40" s="44"/>
      <c r="C40" s="16"/>
      <c r="D40" s="16"/>
      <c r="E40" s="16"/>
      <c r="F40" s="16"/>
      <c r="G40" s="16"/>
      <c r="H40" s="16"/>
      <c r="I40" s="16"/>
      <c r="J40" s="16"/>
      <c r="K40" s="16"/>
      <c r="L40" s="16"/>
      <c r="M40" s="16"/>
      <c r="R40" s="732"/>
    </row>
    <row r="41" spans="1:18" ht="31.5" customHeight="1" x14ac:dyDescent="0.25">
      <c r="B41" s="93" t="s">
        <v>437</v>
      </c>
      <c r="C41" s="117">
        <v>44286</v>
      </c>
      <c r="D41" s="117">
        <v>44377</v>
      </c>
      <c r="E41" s="117">
        <v>44469</v>
      </c>
      <c r="F41" s="117">
        <v>44561</v>
      </c>
      <c r="G41" s="365">
        <v>44651</v>
      </c>
      <c r="H41" s="365">
        <v>44742</v>
      </c>
      <c r="I41" s="365">
        <v>44834</v>
      </c>
      <c r="J41" s="365">
        <v>44926</v>
      </c>
      <c r="K41" s="365">
        <v>45016</v>
      </c>
      <c r="L41" s="330">
        <v>45107</v>
      </c>
      <c r="M41" s="226">
        <v>45199</v>
      </c>
      <c r="R41" s="731"/>
    </row>
    <row r="42" spans="1:18" s="13" customFormat="1" ht="24" customHeight="1" x14ac:dyDescent="0.25">
      <c r="B42" s="272" t="s">
        <v>200</v>
      </c>
      <c r="C42" s="1">
        <v>363.00659999999999</v>
      </c>
      <c r="D42" s="1">
        <v>1839.9153686444999</v>
      </c>
      <c r="E42" s="1">
        <v>1744.2622760849999</v>
      </c>
      <c r="F42" s="325">
        <v>1612.97371767</v>
      </c>
      <c r="G42" s="325">
        <v>1769.269620545</v>
      </c>
      <c r="H42" s="325">
        <v>1171.8441613955999</v>
      </c>
      <c r="I42" s="325">
        <v>1296.6380999999999</v>
      </c>
      <c r="J42" s="325">
        <v>1798.028066674</v>
      </c>
      <c r="K42" s="325">
        <v>2498.2337115539999</v>
      </c>
      <c r="L42" s="233">
        <v>3758.6038723379997</v>
      </c>
      <c r="M42" s="231">
        <v>3513.5318966300001</v>
      </c>
    </row>
    <row r="43" spans="1:18" s="13" customFormat="1" ht="24" customHeight="1" x14ac:dyDescent="0.25">
      <c r="B43" s="272" t="s">
        <v>123</v>
      </c>
      <c r="C43" s="426">
        <v>5.0549893533157633</v>
      </c>
      <c r="D43" s="426">
        <v>4.4362367294715952</v>
      </c>
      <c r="E43" s="426">
        <v>3.8748744455851747</v>
      </c>
      <c r="F43" s="427">
        <v>3.9352695028218925</v>
      </c>
      <c r="G43" s="427">
        <v>4.241886625334228</v>
      </c>
      <c r="H43" s="427">
        <v>4.2486670333967966</v>
      </c>
      <c r="I43" s="427">
        <v>4.3396259116430791</v>
      </c>
      <c r="J43" s="427">
        <v>4.5113018769526718</v>
      </c>
      <c r="K43" s="427">
        <v>4.6587113712272998</v>
      </c>
      <c r="L43" s="428">
        <v>4.7347594299502846</v>
      </c>
      <c r="M43" s="424">
        <v>4.9353381042682685</v>
      </c>
      <c r="R43" s="733"/>
    </row>
    <row r="44" spans="1:18" s="13" customFormat="1" ht="24" customHeight="1" x14ac:dyDescent="0.25">
      <c r="B44" s="272" t="s">
        <v>122</v>
      </c>
      <c r="C44" s="426">
        <f>(C42/(C32/1000000))/C43</f>
        <v>8.6409667345903551E-2</v>
      </c>
      <c r="D44" s="426">
        <f t="shared" ref="D44:G44" si="0">(D42/(D32/1000000))/D43</f>
        <v>0.33170006240295297</v>
      </c>
      <c r="E44" s="426">
        <f t="shared" si="0"/>
        <v>0.36001166478810392</v>
      </c>
      <c r="F44" s="427">
        <f t="shared" si="0"/>
        <v>0.32780474096500134</v>
      </c>
      <c r="G44" s="427">
        <f t="shared" si="0"/>
        <v>0.33357798663195271</v>
      </c>
      <c r="H44" s="427">
        <f t="shared" ref="H44:M44" si="1">(H42/(H32/1000000))/H43</f>
        <v>0.22058683173642613</v>
      </c>
      <c r="I44" s="427">
        <f t="shared" si="1"/>
        <v>0.23896203294947441</v>
      </c>
      <c r="J44" s="427">
        <f t="shared" si="1"/>
        <v>0.31875499339701713</v>
      </c>
      <c r="K44" s="427">
        <f t="shared" si="1"/>
        <v>0.42887396122882004</v>
      </c>
      <c r="L44" s="428">
        <f t="shared" si="1"/>
        <v>0.63487914105734466</v>
      </c>
      <c r="M44" s="424">
        <f t="shared" si="1"/>
        <v>0.56936322104655912</v>
      </c>
    </row>
    <row r="45" spans="1:18" s="13" customFormat="1" ht="24" customHeight="1" x14ac:dyDescent="0.25">
      <c r="B45" s="272" t="s">
        <v>160</v>
      </c>
      <c r="C45" s="426">
        <v>-0.32314047323394712</v>
      </c>
      <c r="D45" s="426">
        <v>-1.6374199259547002</v>
      </c>
      <c r="E45" s="426">
        <v>-0.51864336393849564</v>
      </c>
      <c r="F45" s="427">
        <v>5.1807904826687103E-2</v>
      </c>
      <c r="G45" s="427">
        <v>0.40639101109898507</v>
      </c>
      <c r="H45" s="427">
        <v>6.345095947864586E-2</v>
      </c>
      <c r="I45" s="427">
        <v>8.1992712312165275E-2</v>
      </c>
      <c r="J45" s="427">
        <v>0.12511284454870905</v>
      </c>
      <c r="K45" s="427">
        <v>0.13326964825596682</v>
      </c>
      <c r="L45" s="428">
        <v>8.522136380409577E-2</v>
      </c>
      <c r="M45" s="424">
        <v>0.21134111254610205</v>
      </c>
    </row>
    <row r="46" spans="1:18" s="13" customFormat="1" ht="24" customHeight="1" x14ac:dyDescent="0.25">
      <c r="B46" s="272" t="s">
        <v>199</v>
      </c>
      <c r="C46" s="426">
        <v>4.8895888992474762E-3</v>
      </c>
      <c r="D46" s="426">
        <v>6.3488726854731184E-2</v>
      </c>
      <c r="E46" s="426">
        <v>5.981543827212505E-2</v>
      </c>
      <c r="F46" s="427">
        <v>-1.3605904697013109E-2</v>
      </c>
      <c r="G46" s="427">
        <v>5.9050299601463692E-2</v>
      </c>
      <c r="H46" s="427">
        <v>9.5628983950101443E-2</v>
      </c>
      <c r="I46" s="427">
        <v>6.6800803238905748E-2</v>
      </c>
      <c r="J46" s="427">
        <v>0.14008132280511643</v>
      </c>
      <c r="K46" s="427">
        <v>0.1457931691160462</v>
      </c>
      <c r="L46" s="428">
        <v>0.15371941316275206</v>
      </c>
      <c r="M46" s="424">
        <v>0.23269983461490656</v>
      </c>
    </row>
    <row r="47" spans="1:18" s="13" customFormat="1" ht="24" customHeight="1" x14ac:dyDescent="0.25">
      <c r="B47" s="272" t="s">
        <v>211</v>
      </c>
      <c r="C47" s="426">
        <v>2.4242592508811906E-2</v>
      </c>
      <c r="D47" s="426">
        <v>6.1646411823093508E-2</v>
      </c>
      <c r="E47" s="426">
        <v>5.9510411746329789E-2</v>
      </c>
      <c r="F47" s="427">
        <v>-1.5894156314114213E-2</v>
      </c>
      <c r="G47" s="427">
        <v>0.11689570587056264</v>
      </c>
      <c r="H47" s="427">
        <v>7.5660450273975194E-2</v>
      </c>
      <c r="I47" s="427">
        <v>7.1084344826911741E-2</v>
      </c>
      <c r="J47" s="427">
        <v>0.15573112523119936</v>
      </c>
      <c r="K47" s="427">
        <v>0.15241042510916819</v>
      </c>
      <c r="L47" s="428">
        <v>0.17992931326023717</v>
      </c>
      <c r="M47" s="424">
        <v>0.21259374135081605</v>
      </c>
    </row>
    <row r="48" spans="1:18" s="13" customFormat="1" ht="24" customHeight="1" x14ac:dyDescent="0.25">
      <c r="A48" s="5"/>
      <c r="B48" s="273" t="s">
        <v>210</v>
      </c>
      <c r="C48" s="431">
        <v>2.9939041188792621</v>
      </c>
      <c r="D48" s="431">
        <v>5.8155491694459585</v>
      </c>
      <c r="E48" s="431">
        <v>4.9816213540423284</v>
      </c>
      <c r="F48" s="432">
        <v>-59.752761622221293</v>
      </c>
      <c r="G48" s="432">
        <v>2.7768484089536405</v>
      </c>
      <c r="H48" s="432">
        <v>2.7194424516414037</v>
      </c>
      <c r="I48" s="432">
        <v>3.1778309645401914</v>
      </c>
      <c r="J48" s="745">
        <v>2.1626916664236759</v>
      </c>
      <c r="K48" s="745">
        <v>3.0661601612639533</v>
      </c>
      <c r="L48" s="751">
        <v>3.946410124282266</v>
      </c>
      <c r="M48" s="430">
        <v>3.1489440553415982</v>
      </c>
    </row>
    <row r="49" spans="1:13" s="13" customFormat="1" ht="9.75" customHeight="1" x14ac:dyDescent="0.25">
      <c r="A49" s="5"/>
      <c r="B49" s="44"/>
      <c r="C49" s="16"/>
      <c r="D49" s="16"/>
      <c r="E49" s="16"/>
      <c r="F49" s="16"/>
      <c r="G49" s="16"/>
      <c r="H49" s="16"/>
      <c r="I49" s="16"/>
      <c r="J49" s="16"/>
      <c r="K49" s="16"/>
      <c r="L49" s="16"/>
      <c r="M49" s="16"/>
    </row>
    <row r="50" spans="1:13" s="13" customFormat="1" ht="15.75" customHeight="1" x14ac:dyDescent="0.25">
      <c r="A50" s="5"/>
      <c r="B50" s="44" t="s">
        <v>217</v>
      </c>
      <c r="C50" s="16"/>
      <c r="D50" s="16"/>
      <c r="E50" s="16"/>
      <c r="F50" s="16"/>
      <c r="G50" s="16"/>
      <c r="H50" s="16"/>
      <c r="I50" s="16"/>
      <c r="J50" s="16"/>
      <c r="K50" s="16"/>
      <c r="L50" s="16"/>
      <c r="M50" s="16"/>
    </row>
    <row r="51" spans="1:13" s="13" customFormat="1" ht="13.5" customHeight="1" x14ac:dyDescent="0.25">
      <c r="B51" s="14"/>
      <c r="C51" s="16"/>
      <c r="D51" s="16"/>
      <c r="E51" s="16"/>
      <c r="F51" s="16"/>
      <c r="G51" s="16"/>
      <c r="H51" s="16"/>
      <c r="I51" s="16"/>
      <c r="J51" s="16"/>
      <c r="K51" s="16"/>
      <c r="L51" s="16"/>
      <c r="M51" s="16"/>
    </row>
    <row r="52" spans="1:13" ht="31.5" customHeight="1" x14ac:dyDescent="0.2">
      <c r="B52" s="93" t="s">
        <v>434</v>
      </c>
      <c r="C52" s="149">
        <v>44286</v>
      </c>
      <c r="D52" s="149">
        <v>44377</v>
      </c>
      <c r="E52" s="149">
        <v>44469</v>
      </c>
      <c r="F52" s="149">
        <v>44561</v>
      </c>
      <c r="G52" s="522">
        <v>44651</v>
      </c>
      <c r="H52" s="522">
        <v>44742</v>
      </c>
      <c r="I52" s="522">
        <v>44834</v>
      </c>
      <c r="J52" s="522">
        <v>44926</v>
      </c>
      <c r="K52" s="522">
        <v>45016</v>
      </c>
      <c r="L52" s="329">
        <v>45107</v>
      </c>
      <c r="M52" s="747">
        <v>45199</v>
      </c>
    </row>
    <row r="53" spans="1:13" s="17" customFormat="1" ht="48" customHeight="1" x14ac:dyDescent="0.2">
      <c r="B53" s="151" t="s">
        <v>240</v>
      </c>
      <c r="C53" s="184" t="s">
        <v>79</v>
      </c>
      <c r="D53" s="184" t="s">
        <v>79</v>
      </c>
      <c r="E53" s="228" t="s">
        <v>90</v>
      </c>
      <c r="F53" s="228" t="s">
        <v>90</v>
      </c>
      <c r="G53" s="228" t="s">
        <v>241</v>
      </c>
      <c r="H53" s="228" t="s">
        <v>241</v>
      </c>
      <c r="I53" s="228" t="s">
        <v>241</v>
      </c>
      <c r="J53" s="228" t="s">
        <v>239</v>
      </c>
      <c r="K53" s="228" t="s">
        <v>239</v>
      </c>
      <c r="L53" s="230" t="s">
        <v>239</v>
      </c>
      <c r="M53" s="748" t="s">
        <v>277</v>
      </c>
    </row>
    <row r="54" spans="1:13" s="17" customFormat="1" ht="48" customHeight="1" x14ac:dyDescent="0.2">
      <c r="B54" s="151" t="s">
        <v>60</v>
      </c>
      <c r="C54" s="184" t="s">
        <v>80</v>
      </c>
      <c r="D54" s="184" t="s">
        <v>80</v>
      </c>
      <c r="E54" s="228" t="s">
        <v>80</v>
      </c>
      <c r="F54" s="228" t="s">
        <v>80</v>
      </c>
      <c r="G54" s="228" t="s">
        <v>80</v>
      </c>
      <c r="H54" s="228" t="s">
        <v>196</v>
      </c>
      <c r="I54" s="228" t="s">
        <v>196</v>
      </c>
      <c r="J54" s="228" t="s">
        <v>196</v>
      </c>
      <c r="K54" s="228" t="s">
        <v>196</v>
      </c>
      <c r="L54" s="230" t="s">
        <v>258</v>
      </c>
      <c r="M54" s="748" t="s">
        <v>258</v>
      </c>
    </row>
    <row r="55" spans="1:13" s="17" customFormat="1" ht="48" customHeight="1" x14ac:dyDescent="0.2">
      <c r="B55" s="151" t="s">
        <v>18</v>
      </c>
      <c r="C55" s="174" t="s">
        <v>81</v>
      </c>
      <c r="D55" s="174" t="s">
        <v>81</v>
      </c>
      <c r="E55" s="228" t="s">
        <v>81</v>
      </c>
      <c r="F55" s="228" t="s">
        <v>81</v>
      </c>
      <c r="G55" s="228" t="s">
        <v>97</v>
      </c>
      <c r="H55" s="228" t="s">
        <v>97</v>
      </c>
      <c r="I55" s="228" t="s">
        <v>97</v>
      </c>
      <c r="J55" s="228" t="s">
        <v>97</v>
      </c>
      <c r="K55" s="228" t="s">
        <v>196</v>
      </c>
      <c r="L55" s="230" t="s">
        <v>196</v>
      </c>
      <c r="M55" s="748" t="s">
        <v>278</v>
      </c>
    </row>
    <row r="56" spans="1:13" ht="48" customHeight="1" x14ac:dyDescent="0.2">
      <c r="B56" s="152" t="s">
        <v>93</v>
      </c>
      <c r="C56" s="176"/>
      <c r="D56" s="176"/>
      <c r="E56" s="229"/>
      <c r="F56" s="331" t="s">
        <v>80</v>
      </c>
      <c r="G56" s="331" t="s">
        <v>80</v>
      </c>
      <c r="H56" s="331" t="s">
        <v>80</v>
      </c>
      <c r="I56" s="331" t="s">
        <v>80</v>
      </c>
      <c r="J56" s="746" t="s">
        <v>242</v>
      </c>
      <c r="K56" s="746" t="s">
        <v>242</v>
      </c>
      <c r="L56" s="750" t="s">
        <v>242</v>
      </c>
      <c r="M56" s="749" t="s">
        <v>242</v>
      </c>
    </row>
    <row r="58" spans="1:13" ht="18" customHeight="1" x14ac:dyDescent="0.2">
      <c r="B58" s="963" t="s">
        <v>252</v>
      </c>
      <c r="C58" s="964"/>
      <c r="D58" s="964"/>
      <c r="E58" s="964"/>
      <c r="F58" s="964"/>
      <c r="G58" s="964"/>
      <c r="H58" s="964"/>
      <c r="I58" s="964"/>
      <c r="J58" s="964"/>
      <c r="K58" s="964"/>
      <c r="L58" s="964"/>
      <c r="M58" s="964"/>
    </row>
    <row r="59" spans="1:13" ht="18" customHeight="1" x14ac:dyDescent="0.2">
      <c r="B59" s="963"/>
      <c r="C59" s="965"/>
      <c r="D59" s="965"/>
      <c r="E59" s="965"/>
      <c r="F59" s="965"/>
      <c r="G59" s="965"/>
      <c r="H59" s="965"/>
      <c r="I59" s="965"/>
      <c r="J59" s="965"/>
      <c r="K59" s="965"/>
      <c r="L59" s="965"/>
      <c r="M59" s="965"/>
    </row>
  </sheetData>
  <mergeCells count="3">
    <mergeCell ref="B5:M5"/>
    <mergeCell ref="B58:M58"/>
    <mergeCell ref="B59:M59"/>
  </mergeCells>
  <hyperlinks>
    <hyperlink ref="M2" location="'Cover '!A1" display="Back to Cover" xr:uid="{00000000-0004-0000-0800-000000000000}"/>
  </hyperlinks>
  <printOptions horizontalCentered="1" verticalCentered="1"/>
  <pageMargins left="0" right="0" top="0" bottom="0" header="0" footer="0"/>
  <pageSetup paperSize="8"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ACEC-FD43-4FEF-92A4-C86FA3CD7EF4}">
  <sheetPr codeName="Sheet4">
    <pageSetUpPr fitToPage="1"/>
  </sheetPr>
  <dimension ref="A1:U68"/>
  <sheetViews>
    <sheetView showGridLines="0" view="pageBreakPreview" zoomScale="90" zoomScaleNormal="90" zoomScaleSheetLayoutView="90" workbookViewId="0">
      <pane xSplit="2" ySplit="9" topLeftCell="C10" activePane="bottomRight" state="frozen"/>
      <selection pane="topRight" activeCell="C1" sqref="C1"/>
      <selection pane="bottomLeft" activeCell="A10" sqref="A10"/>
      <selection pane="bottomRight" activeCell="S7" sqref="S7"/>
    </sheetView>
  </sheetViews>
  <sheetFormatPr defaultColWidth="9.140625" defaultRowHeight="12.75" x14ac:dyDescent="0.2"/>
  <cols>
    <col min="1" max="1" width="2.42578125" style="36" customWidth="1"/>
    <col min="2" max="2" width="69.42578125" style="36" customWidth="1"/>
    <col min="3" max="15" width="15" style="36" customWidth="1"/>
    <col min="16" max="16" width="2.42578125" style="36" customWidth="1"/>
    <col min="17" max="18" width="9.140625" style="36"/>
    <col min="19" max="19" width="10.28515625" style="36" customWidth="1"/>
    <col min="20" max="16384" width="9.140625" style="36"/>
  </cols>
  <sheetData>
    <row r="1" spans="1:20" s="31" customFormat="1" ht="15.75" customHeight="1" x14ac:dyDescent="0.2">
      <c r="B1" s="36"/>
      <c r="C1" s="36"/>
      <c r="D1" s="36"/>
      <c r="E1" s="36"/>
      <c r="F1" s="36"/>
      <c r="G1" s="36"/>
      <c r="H1" s="36"/>
      <c r="I1" s="36"/>
      <c r="J1" s="36"/>
      <c r="K1" s="36"/>
      <c r="L1" s="36"/>
      <c r="M1" s="36"/>
      <c r="N1" s="36"/>
      <c r="O1" s="36"/>
    </row>
    <row r="2" spans="1:20" s="31" customFormat="1" ht="15.75" customHeight="1" x14ac:dyDescent="0.2">
      <c r="B2" s="36"/>
      <c r="O2" s="32" t="s">
        <v>21</v>
      </c>
    </row>
    <row r="3" spans="1:20" s="31" customFormat="1" ht="15.75" customHeight="1" x14ac:dyDescent="0.2">
      <c r="B3" s="36"/>
      <c r="C3" s="32"/>
      <c r="D3" s="32"/>
      <c r="E3" s="32"/>
      <c r="F3" s="32"/>
      <c r="G3" s="32"/>
      <c r="H3" s="32"/>
      <c r="I3" s="32"/>
      <c r="J3" s="32"/>
      <c r="K3" s="32"/>
      <c r="N3" s="32"/>
    </row>
    <row r="4" spans="1:20" ht="15.75" customHeight="1" x14ac:dyDescent="0.2"/>
    <row r="5" spans="1:20" s="75" customFormat="1" ht="26.25" x14ac:dyDescent="0.2">
      <c r="A5" s="74"/>
      <c r="B5" s="938" t="s">
        <v>153</v>
      </c>
      <c r="C5" s="938"/>
      <c r="D5" s="938"/>
      <c r="E5" s="938"/>
      <c r="F5" s="938"/>
      <c r="G5" s="938"/>
      <c r="H5" s="938"/>
      <c r="I5" s="938"/>
      <c r="J5" s="938"/>
      <c r="K5" s="938"/>
      <c r="L5" s="938"/>
      <c r="M5" s="938"/>
      <c r="N5" s="938"/>
      <c r="O5" s="938"/>
    </row>
    <row r="6" spans="1:20" s="77" customFormat="1" ht="9" customHeight="1" x14ac:dyDescent="0.2">
      <c r="A6" s="74"/>
      <c r="B6" s="76"/>
      <c r="C6" s="76"/>
      <c r="D6" s="76"/>
      <c r="E6" s="76"/>
      <c r="F6" s="76"/>
      <c r="G6" s="76"/>
      <c r="H6" s="76"/>
      <c r="I6" s="76"/>
      <c r="J6" s="76"/>
      <c r="K6" s="76"/>
      <c r="L6" s="76"/>
      <c r="M6" s="76"/>
      <c r="N6" s="76"/>
      <c r="O6" s="76"/>
    </row>
    <row r="7" spans="1:20" s="31" customFormat="1" ht="9" customHeight="1" x14ac:dyDescent="0.2">
      <c r="B7" s="36"/>
      <c r="C7" s="223"/>
      <c r="D7" s="223"/>
      <c r="E7" s="223"/>
      <c r="F7" s="223"/>
      <c r="G7" s="223"/>
      <c r="H7" s="223"/>
      <c r="I7" s="223"/>
      <c r="J7" s="223"/>
      <c r="K7" s="223"/>
      <c r="L7" s="223"/>
      <c r="M7" s="223"/>
      <c r="N7" s="223"/>
      <c r="O7" s="223"/>
    </row>
    <row r="8" spans="1:20" s="31" customFormat="1" ht="16.5" customHeight="1" x14ac:dyDescent="0.2">
      <c r="B8" s="69" t="s">
        <v>0</v>
      </c>
      <c r="C8" s="223"/>
      <c r="D8" s="223"/>
      <c r="E8" s="223"/>
      <c r="F8" s="223"/>
      <c r="G8" s="223"/>
      <c r="H8" s="223"/>
      <c r="I8" s="223"/>
      <c r="J8" s="223"/>
      <c r="K8" s="223"/>
      <c r="L8" s="223"/>
      <c r="M8" s="223"/>
      <c r="N8" s="223"/>
      <c r="O8" s="223"/>
    </row>
    <row r="9" spans="1:20" s="17" customFormat="1" ht="24" customHeight="1" x14ac:dyDescent="0.2">
      <c r="B9" s="306" t="s">
        <v>151</v>
      </c>
      <c r="C9" s="185" t="s">
        <v>77</v>
      </c>
      <c r="D9" s="185" t="s">
        <v>83</v>
      </c>
      <c r="E9" s="185" t="s">
        <v>88</v>
      </c>
      <c r="F9" s="336" t="s">
        <v>91</v>
      </c>
      <c r="G9" s="336" t="s">
        <v>95</v>
      </c>
      <c r="H9" s="336" t="s">
        <v>163</v>
      </c>
      <c r="I9" s="336" t="s">
        <v>218</v>
      </c>
      <c r="J9" s="336" t="s">
        <v>227</v>
      </c>
      <c r="K9" s="336" t="s">
        <v>250</v>
      </c>
      <c r="L9" s="335" t="s">
        <v>256</v>
      </c>
      <c r="M9" s="811" t="s">
        <v>274</v>
      </c>
      <c r="N9" s="335" t="s">
        <v>275</v>
      </c>
      <c r="O9" s="814" t="s">
        <v>276</v>
      </c>
    </row>
    <row r="10" spans="1:20" s="33" customFormat="1" ht="24" customHeight="1" x14ac:dyDescent="0.2">
      <c r="B10" s="153" t="s">
        <v>1</v>
      </c>
      <c r="C10" s="118">
        <v>365.52100000000002</v>
      </c>
      <c r="D10" s="118">
        <v>406.72900000000004</v>
      </c>
      <c r="E10" s="118">
        <v>319.03500000000003</v>
      </c>
      <c r="F10" s="360">
        <v>318.28100000000001</v>
      </c>
      <c r="G10" s="360">
        <v>285.89500000000004</v>
      </c>
      <c r="H10" s="360">
        <v>305.56799999999998</v>
      </c>
      <c r="I10" s="360">
        <v>330.59200000000004</v>
      </c>
      <c r="J10" s="360">
        <v>430.64700000000005</v>
      </c>
      <c r="K10" s="360">
        <v>446.86599999999999</v>
      </c>
      <c r="L10" s="246">
        <v>487.8</v>
      </c>
      <c r="M10" s="848">
        <v>531.351</v>
      </c>
      <c r="N10" s="246">
        <v>922.05500000000006</v>
      </c>
      <c r="O10" s="815">
        <v>1466.0169999999998</v>
      </c>
    </row>
    <row r="11" spans="1:20" s="33" customFormat="1" ht="24" customHeight="1" x14ac:dyDescent="0.2">
      <c r="B11" s="153" t="s">
        <v>248</v>
      </c>
      <c r="C11" s="118">
        <v>82.457669229967991</v>
      </c>
      <c r="D11" s="118">
        <v>109.683226080304</v>
      </c>
      <c r="E11" s="118">
        <v>112.81878437947027</v>
      </c>
      <c r="F11" s="360">
        <v>126.69409056800001</v>
      </c>
      <c r="G11" s="360">
        <v>112.742032049264</v>
      </c>
      <c r="H11" s="360">
        <v>120.972982314544</v>
      </c>
      <c r="I11" s="360">
        <v>125.31730564699201</v>
      </c>
      <c r="J11" s="360">
        <v>125.82767998919998</v>
      </c>
      <c r="K11" s="360">
        <v>121.64700000000001</v>
      </c>
      <c r="L11" s="246">
        <v>141.40600000000001</v>
      </c>
      <c r="M11" s="848">
        <v>139.97699999999998</v>
      </c>
      <c r="N11" s="246">
        <v>359.03232001079999</v>
      </c>
      <c r="O11" s="815">
        <v>403.03</v>
      </c>
    </row>
    <row r="12" spans="1:20" s="33" customFormat="1" ht="24" customHeight="1" x14ac:dyDescent="0.2">
      <c r="B12" s="153" t="s">
        <v>229</v>
      </c>
      <c r="C12" s="118">
        <v>7.4903107700000007</v>
      </c>
      <c r="D12" s="118">
        <v>9.1591755400000032</v>
      </c>
      <c r="E12" s="118">
        <v>11.095469029999999</v>
      </c>
      <c r="F12" s="360">
        <v>10.953438179999981</v>
      </c>
      <c r="G12" s="360">
        <v>7.0227117500000009</v>
      </c>
      <c r="H12" s="360">
        <v>-0.59334710000000002</v>
      </c>
      <c r="I12" s="360">
        <v>-0.10188483999999999</v>
      </c>
      <c r="J12" s="360">
        <v>-0.67009458999999993</v>
      </c>
      <c r="K12" s="360">
        <v>0</v>
      </c>
      <c r="L12" s="246">
        <v>0</v>
      </c>
      <c r="M12" s="848">
        <v>0</v>
      </c>
      <c r="N12" s="246">
        <v>6.3274798100000007</v>
      </c>
      <c r="O12" s="815">
        <v>0</v>
      </c>
    </row>
    <row r="13" spans="1:20" s="33" customFormat="1" ht="24" customHeight="1" x14ac:dyDescent="0.2">
      <c r="B13" s="153" t="s">
        <v>442</v>
      </c>
      <c r="C13" s="118">
        <v>403.464</v>
      </c>
      <c r="D13" s="118">
        <v>84.680999999999997</v>
      </c>
      <c r="E13" s="118">
        <v>1.1479999999999997</v>
      </c>
      <c r="F13" s="360">
        <v>192.79499999999999</v>
      </c>
      <c r="G13" s="360">
        <v>585.38900000000001</v>
      </c>
      <c r="H13" s="360">
        <v>67.600000000000009</v>
      </c>
      <c r="I13" s="360">
        <v>64.161000000000001</v>
      </c>
      <c r="J13" s="360">
        <v>-3.6300000000000008</v>
      </c>
      <c r="K13" s="360">
        <v>9.7540000000000013</v>
      </c>
      <c r="L13" s="246">
        <v>29.241999999999997</v>
      </c>
      <c r="M13" s="848">
        <v>-7.8949999999999996</v>
      </c>
      <c r="N13" s="246">
        <v>717.15000000000009</v>
      </c>
      <c r="O13" s="815">
        <v>31.100999999999996</v>
      </c>
    </row>
    <row r="14" spans="1:20" s="33" customFormat="1" ht="24" customHeight="1" x14ac:dyDescent="0.2">
      <c r="B14" s="153" t="s">
        <v>170</v>
      </c>
      <c r="C14" s="118">
        <v>387.2</v>
      </c>
      <c r="D14" s="118">
        <v>91.383966000000001</v>
      </c>
      <c r="E14" s="118">
        <v>0</v>
      </c>
      <c r="F14" s="360">
        <v>184.5</v>
      </c>
      <c r="G14" s="360">
        <v>510.7</v>
      </c>
      <c r="H14" s="360">
        <v>109.277</v>
      </c>
      <c r="I14" s="360">
        <v>52</v>
      </c>
      <c r="J14" s="360">
        <v>0</v>
      </c>
      <c r="K14" s="360">
        <v>0</v>
      </c>
      <c r="L14" s="246">
        <v>0</v>
      </c>
      <c r="M14" s="848">
        <v>0</v>
      </c>
      <c r="N14" s="246">
        <v>671.97699999999998</v>
      </c>
      <c r="O14" s="815">
        <v>0</v>
      </c>
    </row>
    <row r="15" spans="1:20" s="33" customFormat="1" ht="24" customHeight="1" x14ac:dyDescent="0.2">
      <c r="B15" s="153" t="s">
        <v>443</v>
      </c>
      <c r="C15" s="118">
        <v>7.9343613800000004</v>
      </c>
      <c r="D15" s="118">
        <v>4.3993956699999996</v>
      </c>
      <c r="E15" s="118">
        <v>-1.5293951699999997</v>
      </c>
      <c r="F15" s="360">
        <v>-11.156154820000001</v>
      </c>
      <c r="G15" s="360">
        <v>-2.3609999999999998</v>
      </c>
      <c r="H15" s="360">
        <v>16.709</v>
      </c>
      <c r="I15" s="360">
        <v>-6.8050000000000006</v>
      </c>
      <c r="J15" s="360">
        <v>23.198</v>
      </c>
      <c r="K15" s="360">
        <v>-1.48</v>
      </c>
      <c r="L15" s="246">
        <v>3.5300000000000002</v>
      </c>
      <c r="M15" s="848">
        <v>-10.244999999999999</v>
      </c>
      <c r="N15" s="246">
        <v>7.543000000000001</v>
      </c>
      <c r="O15" s="815">
        <v>-8.1950000000000003</v>
      </c>
    </row>
    <row r="16" spans="1:20" s="33" customFormat="1" ht="24" customHeight="1" x14ac:dyDescent="0.2">
      <c r="B16" s="374" t="s">
        <v>299</v>
      </c>
      <c r="C16" s="380">
        <f>C10+C11+C13+C15</f>
        <v>859.37703060996807</v>
      </c>
      <c r="D16" s="380">
        <f t="shared" ref="D16:K16" si="0">D10+D11+D13+D15</f>
        <v>605.49262175030401</v>
      </c>
      <c r="E16" s="380">
        <f t="shared" si="0"/>
        <v>431.47238920947035</v>
      </c>
      <c r="F16" s="380">
        <f t="shared" si="0"/>
        <v>626.61393574800002</v>
      </c>
      <c r="G16" s="380">
        <f t="shared" si="0"/>
        <v>981.66503204926403</v>
      </c>
      <c r="H16" s="380">
        <f t="shared" si="0"/>
        <v>510.84998231454398</v>
      </c>
      <c r="I16" s="380">
        <f t="shared" si="0"/>
        <v>513.26530564699203</v>
      </c>
      <c r="J16" s="380">
        <f t="shared" si="0"/>
        <v>576.0426799892</v>
      </c>
      <c r="K16" s="380">
        <f t="shared" si="0"/>
        <v>576.78700000000003</v>
      </c>
      <c r="L16" s="532">
        <f>L10+L11+L13+L15</f>
        <v>661.97799999999995</v>
      </c>
      <c r="M16" s="855">
        <f>M10+M11+M13+M15</f>
        <v>653.18799999999999</v>
      </c>
      <c r="N16" s="532">
        <f>N10+N11+N13+N15</f>
        <v>2005.7803200108001</v>
      </c>
      <c r="O16" s="816">
        <f>O10+O11+O13+O15</f>
        <v>1891.9529999999997</v>
      </c>
      <c r="T16" s="250"/>
    </row>
    <row r="17" spans="2:20" s="33" customFormat="1" ht="24" customHeight="1" x14ac:dyDescent="0.2">
      <c r="B17" s="153" t="s">
        <v>2</v>
      </c>
      <c r="C17" s="118">
        <v>-96.846999999999994</v>
      </c>
      <c r="D17" s="118">
        <v>-136.47999999999999</v>
      </c>
      <c r="E17" s="118">
        <v>-95.391999999999996</v>
      </c>
      <c r="F17" s="360">
        <v>-75.997</v>
      </c>
      <c r="G17" s="360">
        <v>-91.200999999999993</v>
      </c>
      <c r="H17" s="360">
        <v>-101.155</v>
      </c>
      <c r="I17" s="360">
        <v>-121.26600000000001</v>
      </c>
      <c r="J17" s="360">
        <v>-131.95599999999999</v>
      </c>
      <c r="K17" s="360">
        <v>-96.718999999999994</v>
      </c>
      <c r="L17" s="246">
        <v>-96.57</v>
      </c>
      <c r="M17" s="848">
        <v>-80.358000000000004</v>
      </c>
      <c r="N17" s="246">
        <v>-313.62200000000001</v>
      </c>
      <c r="O17" s="815">
        <v>-273.64699999999999</v>
      </c>
    </row>
    <row r="18" spans="2:20" s="33" customFormat="1" ht="24" customHeight="1" x14ac:dyDescent="0.2">
      <c r="B18" s="153" t="s">
        <v>300</v>
      </c>
      <c r="C18" s="118">
        <v>-87.366761700696301</v>
      </c>
      <c r="D18" s="118">
        <v>-88.471742147641876</v>
      </c>
      <c r="E18" s="118">
        <v>-97.352191055886195</v>
      </c>
      <c r="F18" s="360">
        <v>-103.95131694971666</v>
      </c>
      <c r="G18" s="360">
        <v>-81.31903204926401</v>
      </c>
      <c r="H18" s="360">
        <v>-87.151982314544</v>
      </c>
      <c r="I18" s="360">
        <v>-85.185305646991992</v>
      </c>
      <c r="J18" s="360">
        <v>-83.882679989199985</v>
      </c>
      <c r="K18" s="360">
        <v>-83.156999999999996</v>
      </c>
      <c r="L18" s="246">
        <v>-78.429000000000002</v>
      </c>
      <c r="M18" s="848">
        <v>-73.708000000000013</v>
      </c>
      <c r="N18" s="246">
        <v>-253.65632001080002</v>
      </c>
      <c r="O18" s="815">
        <v>-235.29400000000004</v>
      </c>
      <c r="S18" s="250"/>
    </row>
    <row r="19" spans="2:20" s="33" customFormat="1" ht="24" customHeight="1" x14ac:dyDescent="0.2">
      <c r="B19" s="153" t="s">
        <v>294</v>
      </c>
      <c r="C19" s="118"/>
      <c r="D19" s="118"/>
      <c r="E19" s="118"/>
      <c r="F19" s="360"/>
      <c r="G19" s="360"/>
      <c r="H19" s="360"/>
      <c r="I19" s="360"/>
      <c r="J19" s="360"/>
      <c r="K19" s="360"/>
      <c r="L19" s="246"/>
      <c r="M19" s="848">
        <v>-15.5</v>
      </c>
      <c r="N19" s="246"/>
      <c r="O19" s="815">
        <v>-15.5</v>
      </c>
      <c r="S19" s="250"/>
    </row>
    <row r="20" spans="2:20" s="33" customFormat="1" ht="24" customHeight="1" x14ac:dyDescent="0.2">
      <c r="B20" s="153" t="s">
        <v>195</v>
      </c>
      <c r="C20" s="118">
        <v>-27.59</v>
      </c>
      <c r="D20" s="118">
        <v>-27.920999999999999</v>
      </c>
      <c r="E20" s="118">
        <v>-27.63</v>
      </c>
      <c r="F20" s="360">
        <v>-27.091000000000001</v>
      </c>
      <c r="G20" s="360">
        <v>-29.591999999999999</v>
      </c>
      <c r="H20" s="360">
        <v>-24.890999999999998</v>
      </c>
      <c r="I20" s="360">
        <v>-25.213000000000001</v>
      </c>
      <c r="J20" s="360">
        <v>-25.965</v>
      </c>
      <c r="K20" s="360">
        <v>-26.146999999999998</v>
      </c>
      <c r="L20" s="246">
        <v>-26.212</v>
      </c>
      <c r="M20" s="848">
        <v>-26.484999999999999</v>
      </c>
      <c r="N20" s="246">
        <v>-79.695999999999998</v>
      </c>
      <c r="O20" s="815">
        <v>-78.843999999999994</v>
      </c>
    </row>
    <row r="21" spans="2:20" s="33" customFormat="1" ht="24" customHeight="1" x14ac:dyDescent="0.2">
      <c r="B21" s="275" t="s">
        <v>171</v>
      </c>
      <c r="C21" s="310">
        <f>SUM(C17:C20)</f>
        <v>-211.8037617006963</v>
      </c>
      <c r="D21" s="310">
        <f t="shared" ref="D21:G21" si="1">SUM(D17:D20)</f>
        <v>-252.87274214764187</v>
      </c>
      <c r="E21" s="310">
        <f t="shared" si="1"/>
        <v>-220.37419105588617</v>
      </c>
      <c r="F21" s="310">
        <f t="shared" si="1"/>
        <v>-207.03931694971666</v>
      </c>
      <c r="G21" s="310">
        <f t="shared" si="1"/>
        <v>-202.11203204926397</v>
      </c>
      <c r="H21" s="359">
        <f t="shared" ref="H21" si="2">SUM(H17:H20)</f>
        <v>-213.19798231454399</v>
      </c>
      <c r="I21" s="359">
        <f t="shared" ref="I21" si="3">SUM(I17:I20)</f>
        <v>-231.66430564699201</v>
      </c>
      <c r="J21" s="359">
        <f t="shared" ref="J21" si="4">SUM(J17:J20)</f>
        <v>-241.80367998919999</v>
      </c>
      <c r="K21" s="359">
        <f t="shared" ref="K21:N21" si="5">SUM(K17:K20)</f>
        <v>-206.02299999999997</v>
      </c>
      <c r="L21" s="368">
        <f t="shared" si="5"/>
        <v>-201.21099999999998</v>
      </c>
      <c r="M21" s="856">
        <f>SUM(M17:M20)</f>
        <v>-196.05100000000004</v>
      </c>
      <c r="N21" s="368">
        <f t="shared" si="5"/>
        <v>-646.97432001080006</v>
      </c>
      <c r="O21" s="817">
        <f>SUM(O17:O20)</f>
        <v>-603.28500000000008</v>
      </c>
    </row>
    <row r="22" spans="2:20" s="33" customFormat="1" ht="24" customHeight="1" x14ac:dyDescent="0.2">
      <c r="B22" s="153" t="s">
        <v>295</v>
      </c>
      <c r="C22" s="118">
        <v>0</v>
      </c>
      <c r="D22" s="118">
        <v>-40</v>
      </c>
      <c r="E22" s="118">
        <v>0</v>
      </c>
      <c r="F22" s="360">
        <v>15.199000000000002</v>
      </c>
      <c r="G22" s="360">
        <v>-4.1472708799999998</v>
      </c>
      <c r="H22" s="360">
        <v>-6.6</v>
      </c>
      <c r="I22" s="360">
        <v>-19.877649999999999</v>
      </c>
      <c r="J22" s="360">
        <v>-30.314</v>
      </c>
      <c r="K22" s="360">
        <v>-3.1720000000000002</v>
      </c>
      <c r="L22" s="246">
        <v>-2.1745070000000002</v>
      </c>
      <c r="M22" s="848">
        <v>-1.5662459999999996</v>
      </c>
      <c r="N22" s="246">
        <v>-30.624920879999998</v>
      </c>
      <c r="O22" s="815">
        <v>-6.9127530000000004</v>
      </c>
    </row>
    <row r="23" spans="2:20" s="33" customFormat="1" ht="24" customHeight="1" x14ac:dyDescent="0.2">
      <c r="B23" s="374" t="s">
        <v>301</v>
      </c>
      <c r="C23" s="380">
        <f>C16+C21</f>
        <v>647.57326890927175</v>
      </c>
      <c r="D23" s="380">
        <f>D16+D21</f>
        <v>352.61987960266214</v>
      </c>
      <c r="E23" s="380">
        <f t="shared" ref="E23:G23" si="6">E16+E21</f>
        <v>211.09819815358418</v>
      </c>
      <c r="F23" s="380">
        <f t="shared" si="6"/>
        <v>419.57461879828338</v>
      </c>
      <c r="G23" s="380">
        <f t="shared" si="6"/>
        <v>779.55300000000011</v>
      </c>
      <c r="H23" s="593">
        <f t="shared" ref="H23" si="7">H16+H21</f>
        <v>297.65199999999999</v>
      </c>
      <c r="I23" s="593">
        <f t="shared" ref="I23:O23" si="8">I16+I21</f>
        <v>281.601</v>
      </c>
      <c r="J23" s="593">
        <f t="shared" si="8"/>
        <v>334.23900000000003</v>
      </c>
      <c r="K23" s="593">
        <f t="shared" si="8"/>
        <v>370.76400000000007</v>
      </c>
      <c r="L23" s="532">
        <f t="shared" si="8"/>
        <v>460.76699999999994</v>
      </c>
      <c r="M23" s="855">
        <f t="shared" si="8"/>
        <v>457.13699999999994</v>
      </c>
      <c r="N23" s="532">
        <f t="shared" si="8"/>
        <v>1358.806</v>
      </c>
      <c r="O23" s="816">
        <f t="shared" si="8"/>
        <v>1288.6679999999997</v>
      </c>
    </row>
    <row r="24" spans="2:20" s="33" customFormat="1" ht="24" customHeight="1" x14ac:dyDescent="0.2">
      <c r="B24" s="374" t="s">
        <v>302</v>
      </c>
      <c r="C24" s="380">
        <f>C23-C14-C22-C12</f>
        <v>252.88295813927175</v>
      </c>
      <c r="D24" s="380">
        <f t="shared" ref="D24:J24" si="9">D23-D14-D22-D12</f>
        <v>292.07673806266217</v>
      </c>
      <c r="E24" s="380">
        <f t="shared" si="9"/>
        <v>200.00272912358417</v>
      </c>
      <c r="F24" s="380">
        <f t="shared" si="9"/>
        <v>208.92218061828339</v>
      </c>
      <c r="G24" s="380">
        <f>G23-G14-G22-G12</f>
        <v>265.97755913000015</v>
      </c>
      <c r="H24" s="380">
        <f t="shared" si="9"/>
        <v>195.56834709999998</v>
      </c>
      <c r="I24" s="380">
        <f t="shared" si="9"/>
        <v>249.58053483999998</v>
      </c>
      <c r="J24" s="593">
        <f t="shared" si="9"/>
        <v>365.22309459000007</v>
      </c>
      <c r="K24" s="593">
        <f>K23-K14-K22-K12</f>
        <v>373.93600000000009</v>
      </c>
      <c r="L24" s="532">
        <f>L23-L14-L22-L12</f>
        <v>462.94150699999994</v>
      </c>
      <c r="M24" s="855">
        <f>M23-M14-M22-M12</f>
        <v>458.70324599999992</v>
      </c>
      <c r="N24" s="532">
        <f>N23-N14-N22-N12</f>
        <v>711.12644107000006</v>
      </c>
      <c r="O24" s="816">
        <f>O23-O14-O22-O12</f>
        <v>1295.5807529999997</v>
      </c>
    </row>
    <row r="25" spans="2:20" s="33" customFormat="1" ht="24" customHeight="1" x14ac:dyDescent="0.2">
      <c r="B25" s="153" t="s">
        <v>172</v>
      </c>
      <c r="C25" s="118">
        <v>-974.67952506570805</v>
      </c>
      <c r="D25" s="118">
        <v>-2292.1150853035065</v>
      </c>
      <c r="E25" s="118">
        <v>-818.18086084873926</v>
      </c>
      <c r="F25" s="360">
        <v>-199.03071271069032</v>
      </c>
      <c r="G25" s="360">
        <v>-229.72899999999998</v>
      </c>
      <c r="H25" s="360">
        <v>-190.24100000000001</v>
      </c>
      <c r="I25" s="360">
        <v>-91.522999999999996</v>
      </c>
      <c r="J25" s="360">
        <v>-103.126</v>
      </c>
      <c r="K25" s="360">
        <v>-95.394000000000005</v>
      </c>
      <c r="L25" s="246">
        <v>-283.02799999999996</v>
      </c>
      <c r="M25" s="848">
        <v>-75.676999999999992</v>
      </c>
      <c r="N25" s="246">
        <v>-511.49300000000005</v>
      </c>
      <c r="O25" s="815">
        <v>-454.09899999999993</v>
      </c>
    </row>
    <row r="26" spans="2:20" s="33" customFormat="1" ht="24" customHeight="1" x14ac:dyDescent="0.2">
      <c r="B26" s="153" t="s">
        <v>444</v>
      </c>
      <c r="C26" s="118">
        <v>-829.04670999999996</v>
      </c>
      <c r="D26" s="118">
        <v>-2185</v>
      </c>
      <c r="E26" s="118">
        <v>-734</v>
      </c>
      <c r="F26" s="360">
        <v>-126</v>
      </c>
      <c r="G26" s="360">
        <v>-151.6</v>
      </c>
      <c r="H26" s="360">
        <v>-117.35</v>
      </c>
      <c r="I26" s="360">
        <v>-18.381</v>
      </c>
      <c r="J26" s="360">
        <v>-33.1</v>
      </c>
      <c r="K26" s="360">
        <v>-20.760999999999999</v>
      </c>
      <c r="L26" s="246">
        <v>-180.79911400999998</v>
      </c>
      <c r="M26" s="848">
        <v>0</v>
      </c>
      <c r="N26" s="246">
        <v>-287.33100000000002</v>
      </c>
      <c r="O26" s="815">
        <v>-201.56011400999998</v>
      </c>
    </row>
    <row r="27" spans="2:20" s="33" customFormat="1" ht="24" customHeight="1" x14ac:dyDescent="0.2">
      <c r="B27" s="153" t="s">
        <v>231</v>
      </c>
      <c r="C27" s="118">
        <v>-30.466000000000001</v>
      </c>
      <c r="D27" s="118">
        <v>-40.414999999999999</v>
      </c>
      <c r="E27" s="118">
        <v>3.8780000000000001</v>
      </c>
      <c r="F27" s="360">
        <v>29.007999999999999</v>
      </c>
      <c r="G27" s="360">
        <v>-7.7380000000000013</v>
      </c>
      <c r="H27" s="360">
        <v>-14.417000000000002</v>
      </c>
      <c r="I27" s="360">
        <v>-18.779999999999998</v>
      </c>
      <c r="J27" s="360">
        <v>-0.59500000000000597</v>
      </c>
      <c r="K27" s="360">
        <v>-20.998000000000001</v>
      </c>
      <c r="L27" s="246">
        <v>-43.989000000000004</v>
      </c>
      <c r="M27" s="848">
        <v>-2.1039999999999957</v>
      </c>
      <c r="N27" s="246">
        <v>-40.935000000000002</v>
      </c>
      <c r="O27" s="815">
        <v>-67.091000000000008</v>
      </c>
    </row>
    <row r="28" spans="2:20" s="33" customFormat="1" ht="24" customHeight="1" x14ac:dyDescent="0.2">
      <c r="B28" s="153" t="s">
        <v>445</v>
      </c>
      <c r="C28" s="118">
        <v>0</v>
      </c>
      <c r="D28" s="118">
        <v>0</v>
      </c>
      <c r="E28" s="118">
        <v>0</v>
      </c>
      <c r="F28" s="360">
        <v>0</v>
      </c>
      <c r="G28" s="360">
        <v>0</v>
      </c>
      <c r="H28" s="360">
        <v>0</v>
      </c>
      <c r="I28" s="360">
        <v>0</v>
      </c>
      <c r="J28" s="360">
        <v>25.8</v>
      </c>
      <c r="K28" s="360">
        <v>0</v>
      </c>
      <c r="L28" s="246">
        <v>0</v>
      </c>
      <c r="M28" s="848">
        <v>0</v>
      </c>
      <c r="N28" s="246">
        <v>0</v>
      </c>
      <c r="O28" s="815">
        <v>0</v>
      </c>
    </row>
    <row r="29" spans="2:20" s="33" customFormat="1" ht="24" customHeight="1" thickBot="1" x14ac:dyDescent="0.25">
      <c r="B29" s="375" t="s">
        <v>303</v>
      </c>
      <c r="C29" s="381">
        <f>C23+C25+C27</f>
        <v>-357.57225615643631</v>
      </c>
      <c r="D29" s="381">
        <f>D23+D25+D27</f>
        <v>-1979.9102057008442</v>
      </c>
      <c r="E29" s="381">
        <f t="shared" ref="E29:F29" si="10">E23+E25+E27</f>
        <v>-603.20466269515498</v>
      </c>
      <c r="F29" s="381">
        <f t="shared" si="10"/>
        <v>249.55190608759307</v>
      </c>
      <c r="G29" s="381">
        <f>G23+G25+G27</f>
        <v>542.08600000000001</v>
      </c>
      <c r="H29" s="594">
        <f t="shared" ref="H29" si="11">H23+H25+H27</f>
        <v>92.993999999999971</v>
      </c>
      <c r="I29" s="594">
        <f t="shared" ref="I29" si="12">I23+I25+I27</f>
        <v>171.298</v>
      </c>
      <c r="J29" s="594">
        <f t="shared" ref="J29:O29" si="13">J23+J25+J27</f>
        <v>230.51800000000003</v>
      </c>
      <c r="K29" s="594">
        <f t="shared" si="13"/>
        <v>254.37200000000007</v>
      </c>
      <c r="L29" s="533">
        <f t="shared" si="13"/>
        <v>133.74999999999997</v>
      </c>
      <c r="M29" s="857">
        <f>M23+M25+M27</f>
        <v>379.35599999999994</v>
      </c>
      <c r="N29" s="533">
        <f t="shared" si="13"/>
        <v>806.37799999999993</v>
      </c>
      <c r="O29" s="818">
        <f t="shared" si="13"/>
        <v>767.47799999999972</v>
      </c>
      <c r="R29" s="250"/>
      <c r="T29" s="250"/>
    </row>
    <row r="30" spans="2:20" s="33" customFormat="1" ht="24" customHeight="1" thickBot="1" x14ac:dyDescent="0.25">
      <c r="B30" s="377" t="s">
        <v>304</v>
      </c>
      <c r="C30" s="382">
        <f>C24+C25+C27-C26</f>
        <v>76.784143073563655</v>
      </c>
      <c r="D30" s="382">
        <f t="shared" ref="D30:G30" si="14">D24+D25+D27-D26</f>
        <v>144.54665275915568</v>
      </c>
      <c r="E30" s="382">
        <f t="shared" si="14"/>
        <v>119.69986827484502</v>
      </c>
      <c r="F30" s="382">
        <f t="shared" si="14"/>
        <v>164.89946790759308</v>
      </c>
      <c r="G30" s="382">
        <f t="shared" si="14"/>
        <v>180.11055913000015</v>
      </c>
      <c r="H30" s="595">
        <f t="shared" ref="H30" si="15">H24+H25+H27-H26</f>
        <v>108.26034709999996</v>
      </c>
      <c r="I30" s="595">
        <f t="shared" ref="I30" si="16">I24+I25+I27-I26</f>
        <v>157.65853483999999</v>
      </c>
      <c r="J30" s="781">
        <f t="shared" ref="J30:O30" si="17">J24+J25+J27-J26-J28</f>
        <v>268.80209459000008</v>
      </c>
      <c r="K30" s="781">
        <f t="shared" si="17"/>
        <v>278.30500000000012</v>
      </c>
      <c r="L30" s="715">
        <f t="shared" si="17"/>
        <v>316.72362100999999</v>
      </c>
      <c r="M30" s="858">
        <f t="shared" si="17"/>
        <v>380.92224599999992</v>
      </c>
      <c r="N30" s="715">
        <f t="shared" si="17"/>
        <v>446.02944107000002</v>
      </c>
      <c r="O30" s="819">
        <f t="shared" si="17"/>
        <v>975.9508670099998</v>
      </c>
    </row>
    <row r="31" spans="2:20" s="33" customFormat="1" ht="24" customHeight="1" thickBot="1" x14ac:dyDescent="0.25">
      <c r="B31" s="153" t="s">
        <v>173</v>
      </c>
      <c r="C31" s="1">
        <v>-46.384</v>
      </c>
      <c r="D31" s="1">
        <v>-64.501000000000005</v>
      </c>
      <c r="E31" s="1">
        <v>-32.261000000000003</v>
      </c>
      <c r="F31" s="277">
        <v>-173.16</v>
      </c>
      <c r="G31" s="277">
        <v>-22.04</v>
      </c>
      <c r="H31" s="277">
        <v>-0.28899999999999998</v>
      </c>
      <c r="I31" s="277">
        <v>-55.845999999999997</v>
      </c>
      <c r="J31" s="277">
        <v>-61.52</v>
      </c>
      <c r="K31" s="277">
        <v>-75.64</v>
      </c>
      <c r="L31" s="312">
        <v>-14.627000000000001</v>
      </c>
      <c r="M31" s="846">
        <v>-102.38800000000001</v>
      </c>
      <c r="N31" s="312">
        <v>-78.174999999999997</v>
      </c>
      <c r="O31" s="820">
        <v>-192.655</v>
      </c>
    </row>
    <row r="32" spans="2:20" s="33" customFormat="1" ht="24" customHeight="1" thickBot="1" x14ac:dyDescent="0.25">
      <c r="B32" s="795" t="s">
        <v>446</v>
      </c>
      <c r="C32" s="796">
        <v>0</v>
      </c>
      <c r="D32" s="796">
        <v>0</v>
      </c>
      <c r="E32" s="796">
        <v>0</v>
      </c>
      <c r="F32" s="797">
        <v>0</v>
      </c>
      <c r="G32" s="797">
        <v>-46.828745373799997</v>
      </c>
      <c r="H32" s="797">
        <v>-28.147690246</v>
      </c>
      <c r="I32" s="797">
        <v>-40.991219058400013</v>
      </c>
      <c r="J32" s="797">
        <v>-69.888544593399999</v>
      </c>
      <c r="K32" s="797">
        <v>-75.64</v>
      </c>
      <c r="L32" s="798">
        <v>-79.180905252499997</v>
      </c>
      <c r="M32" s="859">
        <v>-102.38800000000001</v>
      </c>
      <c r="N32" s="798">
        <v>-115.96765467820001</v>
      </c>
      <c r="O32" s="821">
        <v>-257.20890525250002</v>
      </c>
    </row>
    <row r="33" spans="2:21" s="33" customFormat="1" ht="24" customHeight="1" thickBot="1" x14ac:dyDescent="0.25">
      <c r="B33" s="456" t="s">
        <v>209</v>
      </c>
      <c r="C33" s="429">
        <v>8.7999999999999995E-2</v>
      </c>
      <c r="D33" s="429">
        <v>0.95099999999999996</v>
      </c>
      <c r="E33" s="429">
        <v>-9.6000000000000002E-2</v>
      </c>
      <c r="F33" s="429">
        <v>-1.512</v>
      </c>
      <c r="G33" s="429">
        <v>-1.2170000000000001</v>
      </c>
      <c r="H33" s="596">
        <v>0.24299999999999999</v>
      </c>
      <c r="I33" s="596">
        <v>-0.19400000000000001</v>
      </c>
      <c r="J33" s="596">
        <v>-0.56399999999999995</v>
      </c>
      <c r="K33" s="596">
        <v>-1.0289999999999999</v>
      </c>
      <c r="L33" s="534">
        <v>-0.56000000000000005</v>
      </c>
      <c r="M33" s="860">
        <v>-0.41099999999999998</v>
      </c>
      <c r="N33" s="534">
        <v>-1.1680000000000001</v>
      </c>
      <c r="O33" s="822">
        <v>-2</v>
      </c>
    </row>
    <row r="34" spans="2:21" s="33" customFormat="1" ht="24" customHeight="1" thickBot="1" x14ac:dyDescent="0.25">
      <c r="B34" s="454" t="s">
        <v>305</v>
      </c>
      <c r="C34" s="71">
        <f>C29+C31-C26-C22-C13-C33-C12-C15</f>
        <v>6.1137816935636362</v>
      </c>
      <c r="D34" s="71">
        <f>D29+D31-D26-D22-D13-D33-D12-D15</f>
        <v>81.398223089155778</v>
      </c>
      <c r="E34" s="71">
        <f>E29+E31-E26-E22-E13-E33-E12-E15</f>
        <v>87.916263444845058</v>
      </c>
      <c r="F34" s="71">
        <f>F29+F31-F26-F22-F13-F33-F12-F15</f>
        <v>-3.8873772724069084</v>
      </c>
      <c r="G34" s="71">
        <f>G29+G32-G26-G22-G13-G33-G12-G15</f>
        <v>62.170813756199898</v>
      </c>
      <c r="H34" s="71">
        <f>H29+H32-H26-H22-H13-H33-H12-H15</f>
        <v>104.83765685399996</v>
      </c>
      <c r="I34" s="597">
        <f>I29+I32-I26-I22-I13-I33-I12-I15</f>
        <v>111.50531578159998</v>
      </c>
      <c r="J34" s="320">
        <f t="shared" ref="J34:O34" si="18">J29+J32-J26-J22-J13-J33-J12-J28-J15</f>
        <v>179.90954999659996</v>
      </c>
      <c r="K34" s="320">
        <f t="shared" si="18"/>
        <v>195.42000000000007</v>
      </c>
      <c r="L34" s="715">
        <f t="shared" si="18"/>
        <v>205.33071575749997</v>
      </c>
      <c r="M34" s="861">
        <f>M29+M32-M26-M22-M13-M33-M12-M28-M15</f>
        <v>297.08524599999993</v>
      </c>
      <c r="N34" s="234">
        <f t="shared" si="18"/>
        <v>278.51378639179984</v>
      </c>
      <c r="O34" s="819">
        <f t="shared" si="18"/>
        <v>697.83596175749972</v>
      </c>
    </row>
    <row r="35" spans="2:21" s="33" customFormat="1" ht="24" customHeight="1" thickBot="1" x14ac:dyDescent="0.25">
      <c r="B35" s="453" t="s">
        <v>197</v>
      </c>
      <c r="C35" s="429">
        <v>24.198361380000051</v>
      </c>
      <c r="D35" s="429">
        <v>-2.3035703299999568</v>
      </c>
      <c r="E35" s="429">
        <v>-0.38139516999996204</v>
      </c>
      <c r="F35" s="429">
        <v>-2.8611548199999675</v>
      </c>
      <c r="G35" s="429">
        <v>72.328000000000031</v>
      </c>
      <c r="H35" s="596">
        <v>-24.967999999999961</v>
      </c>
      <c r="I35" s="596">
        <v>5.3560000000000514</v>
      </c>
      <c r="J35" s="596">
        <v>19.567999999999984</v>
      </c>
      <c r="K35" s="596">
        <v>8.2740000000000578</v>
      </c>
      <c r="L35" s="534">
        <v>32.771999999999878</v>
      </c>
      <c r="M35" s="860">
        <v>-18.139999999999873</v>
      </c>
      <c r="N35" s="534">
        <v>52.715999999999951</v>
      </c>
      <c r="O35" s="822">
        <v>22.906000000000063</v>
      </c>
    </row>
    <row r="36" spans="2:21" s="33" customFormat="1" ht="24" customHeight="1" thickBot="1" x14ac:dyDescent="0.25">
      <c r="B36" s="455" t="s">
        <v>306</v>
      </c>
      <c r="C36" s="383">
        <f>C35+C34</f>
        <v>30.312143073563689</v>
      </c>
      <c r="D36" s="383">
        <f>D35+D34</f>
        <v>79.094652759155821</v>
      </c>
      <c r="E36" s="383">
        <f t="shared" ref="E36:G36" si="19">E35+E34</f>
        <v>87.534868274845095</v>
      </c>
      <c r="F36" s="383">
        <f t="shared" si="19"/>
        <v>-6.7485320924068759</v>
      </c>
      <c r="G36" s="383">
        <f t="shared" si="19"/>
        <v>134.49881375619992</v>
      </c>
      <c r="H36" s="597">
        <f t="shared" ref="H36:O36" si="20">H35+H34</f>
        <v>79.869656853999999</v>
      </c>
      <c r="I36" s="597">
        <f t="shared" si="20"/>
        <v>116.86131578160003</v>
      </c>
      <c r="J36" s="782">
        <f t="shared" si="20"/>
        <v>199.47754999659995</v>
      </c>
      <c r="K36" s="782">
        <f t="shared" si="20"/>
        <v>203.69400000000013</v>
      </c>
      <c r="L36" s="789">
        <f t="shared" si="20"/>
        <v>238.10271575749985</v>
      </c>
      <c r="M36" s="862">
        <f t="shared" si="20"/>
        <v>278.94524600000005</v>
      </c>
      <c r="N36" s="789">
        <f t="shared" si="20"/>
        <v>331.22978639179979</v>
      </c>
      <c r="O36" s="823">
        <f t="shared" si="20"/>
        <v>720.74196175749978</v>
      </c>
    </row>
    <row r="37" spans="2:21" s="33" customFormat="1" ht="24" customHeight="1" x14ac:dyDescent="0.2">
      <c r="B37" s="677" t="s">
        <v>307</v>
      </c>
      <c r="C37" s="678">
        <f>C29+C31-C33</f>
        <v>-404.04425615643635</v>
      </c>
      <c r="D37" s="678">
        <f t="shared" ref="D37:F37" si="21">D29+D31-D33</f>
        <v>-2045.3622057008442</v>
      </c>
      <c r="E37" s="678">
        <f t="shared" si="21"/>
        <v>-635.36966269515494</v>
      </c>
      <c r="F37" s="678">
        <f t="shared" si="21"/>
        <v>77.903906087593072</v>
      </c>
      <c r="G37" s="678">
        <f>G29+G31-G33</f>
        <v>521.26300000000003</v>
      </c>
      <c r="H37" s="679">
        <f t="shared" ref="H37" si="22">H29+H31-H33</f>
        <v>92.461999999999975</v>
      </c>
      <c r="I37" s="679">
        <f t="shared" ref="I37" si="23">I29+I31-I33</f>
        <v>115.646</v>
      </c>
      <c r="J37" s="679">
        <f t="shared" ref="J37:O37" si="24">J29+J31-J33</f>
        <v>169.56200000000001</v>
      </c>
      <c r="K37" s="679">
        <f t="shared" si="24"/>
        <v>179.76100000000008</v>
      </c>
      <c r="L37" s="680">
        <f t="shared" si="24"/>
        <v>119.68299999999998</v>
      </c>
      <c r="M37" s="863">
        <f t="shared" si="24"/>
        <v>277.37899999999996</v>
      </c>
      <c r="N37" s="680">
        <f t="shared" si="24"/>
        <v>729.37099999999998</v>
      </c>
      <c r="O37" s="824">
        <f t="shared" si="24"/>
        <v>576.82299999999975</v>
      </c>
    </row>
    <row r="38" spans="2:21" s="80" customFormat="1" ht="17.25" customHeight="1" x14ac:dyDescent="0.2">
      <c r="B38" s="81"/>
    </row>
    <row r="39" spans="2:21" s="17" customFormat="1" ht="24" customHeight="1" x14ac:dyDescent="0.2">
      <c r="B39" s="306" t="s">
        <v>152</v>
      </c>
      <c r="C39" s="117">
        <v>44286</v>
      </c>
      <c r="D39" s="117">
        <v>44377</v>
      </c>
      <c r="E39" s="117">
        <v>44469</v>
      </c>
      <c r="F39" s="365">
        <v>44561</v>
      </c>
      <c r="G39" s="365">
        <v>44651</v>
      </c>
      <c r="H39" s="365">
        <v>44742</v>
      </c>
      <c r="I39" s="365">
        <v>44834</v>
      </c>
      <c r="J39" s="365">
        <v>44926</v>
      </c>
      <c r="K39" s="365">
        <v>45016</v>
      </c>
      <c r="L39" s="330">
        <v>45107</v>
      </c>
      <c r="M39" s="330">
        <v>45199</v>
      </c>
      <c r="N39" s="330">
        <v>44834</v>
      </c>
      <c r="O39" s="827">
        <v>45199</v>
      </c>
    </row>
    <row r="40" spans="2:21" s="80" customFormat="1" ht="24" customHeight="1" x14ac:dyDescent="0.2">
      <c r="B40" s="275" t="s">
        <v>261</v>
      </c>
      <c r="C40" s="310">
        <v>72001.417999999991</v>
      </c>
      <c r="D40" s="310">
        <v>74922.198999999993</v>
      </c>
      <c r="E40" s="310">
        <v>75306.577999999994</v>
      </c>
      <c r="F40" s="310">
        <v>78201.006999999998</v>
      </c>
      <c r="G40" s="310">
        <v>79384.396000000008</v>
      </c>
      <c r="H40" s="359">
        <v>81755.793999999994</v>
      </c>
      <c r="I40" s="359">
        <v>82656.067999999985</v>
      </c>
      <c r="J40" s="359">
        <v>74143.311432999995</v>
      </c>
      <c r="K40" s="359">
        <v>74679.885999999999</v>
      </c>
      <c r="L40" s="368">
        <v>76982.615999999995</v>
      </c>
      <c r="M40" s="813">
        <v>79258.884000000005</v>
      </c>
      <c r="N40" s="359">
        <v>82656.067999999985</v>
      </c>
      <c r="O40" s="817">
        <v>79258.884000000005</v>
      </c>
    </row>
    <row r="41" spans="2:21" s="80" customFormat="1" ht="24" customHeight="1" x14ac:dyDescent="0.2">
      <c r="B41" s="626" t="s">
        <v>447</v>
      </c>
      <c r="C41" s="310">
        <v>47965.943584659901</v>
      </c>
      <c r="D41" s="310">
        <v>36762.053602169864</v>
      </c>
      <c r="E41" s="310">
        <v>35785.153741830043</v>
      </c>
      <c r="F41" s="359">
        <v>38581.135904830051</v>
      </c>
      <c r="G41" s="310">
        <v>37157.484811379974</v>
      </c>
      <c r="H41" s="359">
        <v>37012.81045081999</v>
      </c>
      <c r="I41" s="359">
        <v>37723.699318710009</v>
      </c>
      <c r="J41" s="359">
        <v>38849.670368739884</v>
      </c>
      <c r="K41" s="359">
        <v>36823.953307999996</v>
      </c>
      <c r="L41" s="368">
        <v>36987.841641749998</v>
      </c>
      <c r="M41" s="813">
        <v>37298.183124290001</v>
      </c>
      <c r="N41" s="359">
        <v>37723.699318710009</v>
      </c>
      <c r="O41" s="817">
        <v>37298.183124290001</v>
      </c>
      <c r="R41" s="559"/>
      <c r="T41" s="559"/>
    </row>
    <row r="42" spans="2:21" s="80" customFormat="1" ht="24" customHeight="1" x14ac:dyDescent="0.2">
      <c r="B42" s="621" t="s">
        <v>449</v>
      </c>
      <c r="C42" s="118">
        <v>22154.894448389994</v>
      </c>
      <c r="D42" s="118">
        <v>9007.7873814000013</v>
      </c>
      <c r="E42" s="118">
        <v>5985.5190524999989</v>
      </c>
      <c r="F42" s="360">
        <v>4915.0369695099962</v>
      </c>
      <c r="G42" s="118">
        <v>4721.7395479699999</v>
      </c>
      <c r="H42" s="118">
        <v>3425.745327170001</v>
      </c>
      <c r="I42" s="118">
        <v>3331.29172062</v>
      </c>
      <c r="J42" s="360">
        <v>2624.3162290799996</v>
      </c>
      <c r="K42" s="360">
        <v>2441.5529170199989</v>
      </c>
      <c r="L42" s="246">
        <v>2048.5796317300005</v>
      </c>
      <c r="M42" s="812">
        <v>2045.45625649</v>
      </c>
      <c r="N42" s="118">
        <v>3331.29172062</v>
      </c>
      <c r="O42" s="815">
        <v>2045.45625649</v>
      </c>
      <c r="R42" s="559"/>
    </row>
    <row r="43" spans="2:21" s="80" customFormat="1" ht="24" customHeight="1" x14ac:dyDescent="0.2">
      <c r="B43" s="620" t="s">
        <v>448</v>
      </c>
      <c r="C43" s="310">
        <v>37481.360999999997</v>
      </c>
      <c r="D43" s="310">
        <v>33262.512999999999</v>
      </c>
      <c r="E43" s="310">
        <v>33466.277999999998</v>
      </c>
      <c r="F43" s="359">
        <v>35124.184999999998</v>
      </c>
      <c r="G43" s="310">
        <v>35076.957999999999</v>
      </c>
      <c r="H43" s="359">
        <v>35445.339</v>
      </c>
      <c r="I43" s="359">
        <v>36093.035000000003</v>
      </c>
      <c r="J43" s="359">
        <v>35900.877433000001</v>
      </c>
      <c r="K43" s="359">
        <v>35464.218000000001</v>
      </c>
      <c r="L43" s="368">
        <v>35823.851999999999</v>
      </c>
      <c r="M43" s="813">
        <v>36126.286</v>
      </c>
      <c r="N43" s="359">
        <v>36093.035000000003</v>
      </c>
      <c r="O43" s="817">
        <v>36126.286</v>
      </c>
      <c r="S43" s="559"/>
    </row>
    <row r="44" spans="2:21" s="80" customFormat="1" ht="24" customHeight="1" x14ac:dyDescent="0.2">
      <c r="B44" s="275" t="s">
        <v>308</v>
      </c>
      <c r="C44" s="310">
        <v>6320.5929999999962</v>
      </c>
      <c r="D44" s="310">
        <v>5546.9250000000002</v>
      </c>
      <c r="E44" s="310">
        <v>4845.0159999999996</v>
      </c>
      <c r="F44" s="310">
        <v>4920.5320000000002</v>
      </c>
      <c r="G44" s="310">
        <v>5303.9160000000002</v>
      </c>
      <c r="H44" s="359">
        <v>5312.3940000000002</v>
      </c>
      <c r="I44" s="359">
        <v>5426.1260000000002</v>
      </c>
      <c r="J44" s="359">
        <v>5640.7839999999997</v>
      </c>
      <c r="K44" s="359">
        <v>5825.1</v>
      </c>
      <c r="L44" s="368">
        <v>5920.1880000000001</v>
      </c>
      <c r="M44" s="813">
        <v>6170.9849999999997</v>
      </c>
      <c r="N44" s="359">
        <v>5426.1260000000002</v>
      </c>
      <c r="O44" s="817">
        <v>6170.9849999999997</v>
      </c>
    </row>
    <row r="45" spans="2:21" s="80" customFormat="1" ht="24" customHeight="1" x14ac:dyDescent="0.2">
      <c r="B45" s="376" t="s">
        <v>309</v>
      </c>
      <c r="C45" s="384">
        <v>6699.0059999999967</v>
      </c>
      <c r="D45" s="384">
        <v>6537.1439999999993</v>
      </c>
      <c r="E45" s="384">
        <v>5836.1669999999986</v>
      </c>
      <c r="F45" s="384">
        <v>5802.7909999999993</v>
      </c>
      <c r="G45" s="384">
        <v>6189.0199999999977</v>
      </c>
      <c r="H45" s="598">
        <v>6212.8239999999987</v>
      </c>
      <c r="I45" s="598">
        <v>6354.0249999999996</v>
      </c>
      <c r="J45" s="598">
        <v>6580.6560000000009</v>
      </c>
      <c r="K45" s="598">
        <v>6765.2150000000011</v>
      </c>
      <c r="L45" s="788">
        <v>6892.6440000000002</v>
      </c>
      <c r="M45" s="826">
        <v>7145.3239999999996</v>
      </c>
      <c r="N45" s="598">
        <v>6354.0249999999996</v>
      </c>
      <c r="O45" s="828">
        <v>7145.3239999999996</v>
      </c>
      <c r="T45" s="560"/>
      <c r="U45" s="551"/>
    </row>
    <row r="46" spans="2:21" s="80" customFormat="1" ht="17.25" customHeight="1" x14ac:dyDescent="0.2">
      <c r="B46" s="81"/>
      <c r="S46" s="550"/>
    </row>
    <row r="47" spans="2:21" ht="24" customHeight="1" x14ac:dyDescent="0.2">
      <c r="B47" s="306" t="s">
        <v>174</v>
      </c>
      <c r="C47" s="365" t="s">
        <v>78</v>
      </c>
      <c r="D47" s="365" t="s">
        <v>84</v>
      </c>
      <c r="E47" s="365" t="s">
        <v>89</v>
      </c>
      <c r="F47" s="365" t="s">
        <v>92</v>
      </c>
      <c r="G47" s="365" t="s">
        <v>96</v>
      </c>
      <c r="H47" s="365" t="s">
        <v>162</v>
      </c>
      <c r="I47" s="365" t="s">
        <v>219</v>
      </c>
      <c r="J47" s="365" t="s">
        <v>226</v>
      </c>
      <c r="K47" s="365" t="s">
        <v>250</v>
      </c>
      <c r="L47" s="330" t="s">
        <v>256</v>
      </c>
      <c r="M47" s="825" t="s">
        <v>274</v>
      </c>
      <c r="N47" s="330" t="s">
        <v>275</v>
      </c>
      <c r="O47" s="367" t="s">
        <v>276</v>
      </c>
    </row>
    <row r="48" spans="2:21" ht="24" customHeight="1" x14ac:dyDescent="0.2">
      <c r="B48" s="275" t="s">
        <v>263</v>
      </c>
      <c r="C48" s="458">
        <f>C34/1250.367223</f>
        <v>4.8895888992474303E-3</v>
      </c>
      <c r="D48" s="458">
        <f>(D34-(2.014))/1250.367223</f>
        <v>6.3488726854731212E-2</v>
      </c>
      <c r="E48" s="458">
        <f t="shared" ref="E48:I48" si="25">(E34-(600*8.75%/4))/1250.367223</f>
        <v>5.9815438272125161E-2</v>
      </c>
      <c r="F48" s="458">
        <f t="shared" si="25"/>
        <v>-1.3605904697013086E-2</v>
      </c>
      <c r="G48" s="458">
        <f t="shared" si="25"/>
        <v>3.9225127509760309E-2</v>
      </c>
      <c r="H48" s="556">
        <f t="shared" si="25"/>
        <v>7.3348577255531566E-2</v>
      </c>
      <c r="I48" s="556">
        <f t="shared" si="25"/>
        <v>7.8681137806505014E-2</v>
      </c>
      <c r="J48" s="556">
        <f t="shared" ref="J48" si="26">(J34-(600*8.75%/4))/1250.367223</f>
        <v>0.13338845335087607</v>
      </c>
      <c r="K48" s="556">
        <f t="shared" ref="K48:M48" si="27">(K34-(600*8.75%/4))/1250.367223</f>
        <v>0.14579316911604623</v>
      </c>
      <c r="L48" s="539">
        <f t="shared" si="27"/>
        <v>0.15371941316275209</v>
      </c>
      <c r="M48" s="865">
        <f t="shared" si="27"/>
        <v>0.22710147929077626</v>
      </c>
      <c r="N48" s="539">
        <f>(N34-52.5*(3/4))/1250.367223</f>
        <v>0.1912548425717969</v>
      </c>
      <c r="O48" s="535">
        <f>(O34-52.5*(3/4))/1250.367223</f>
        <v>0.52661406156957435</v>
      </c>
    </row>
    <row r="49" spans="2:18" ht="24" customHeight="1" x14ac:dyDescent="0.2">
      <c r="B49" s="275" t="s">
        <v>198</v>
      </c>
      <c r="C49" s="458">
        <f>C36/1250.367223</f>
        <v>2.4242592508811861E-2</v>
      </c>
      <c r="D49" s="458">
        <f>(D36-(2.014))/1250.367223</f>
        <v>6.1646411823093529E-2</v>
      </c>
      <c r="E49" s="458">
        <f t="shared" ref="E49:G50" si="28">(E36-(600*8.75%/4))/1250.367223</f>
        <v>5.95104117463299E-2</v>
      </c>
      <c r="F49" s="458">
        <f t="shared" si="28"/>
        <v>-1.5894156314114189E-2</v>
      </c>
      <c r="G49" s="458">
        <f t="shared" si="28"/>
        <v>9.7070533778859242E-2</v>
      </c>
      <c r="H49" s="556">
        <f t="shared" ref="H49" si="29">(H36-(600*8.75%/4))/1250.367223</f>
        <v>5.338004357940531E-2</v>
      </c>
      <c r="I49" s="556">
        <f t="shared" ref="I49" si="30">(I36-(600*8.75%/4))/1250.367223</f>
        <v>8.2964679394510993E-2</v>
      </c>
      <c r="J49" s="556">
        <f t="shared" ref="J49" si="31">(J36-(600*8.75%/4))/1250.367223</f>
        <v>0.14903825577695901</v>
      </c>
      <c r="K49" s="556">
        <f t="shared" ref="K49:M49" si="32">(K36-(600*8.75%/4))/1250.367223</f>
        <v>0.15241042510916822</v>
      </c>
      <c r="L49" s="539">
        <f t="shared" si="32"/>
        <v>0.1799293132602372</v>
      </c>
      <c r="M49" s="865">
        <f t="shared" si="32"/>
        <v>0.21259374135081599</v>
      </c>
      <c r="N49" s="539">
        <f>(N36-52.5*(273/365))/1250.367223</f>
        <v>0.23350153277660621</v>
      </c>
      <c r="O49" s="535">
        <f>(O36-52.5*(273/365))/1250.367223</f>
        <v>0.54501975574405204</v>
      </c>
    </row>
    <row r="50" spans="2:18" ht="24" customHeight="1" x14ac:dyDescent="0.2">
      <c r="B50" s="275" t="s">
        <v>201</v>
      </c>
      <c r="C50" s="556">
        <f>(C37)/1250.367223</f>
        <v>-0.32314047323394718</v>
      </c>
      <c r="D50" s="556">
        <f>(D37-(2.014))/1250.367223</f>
        <v>-1.6374199259547002</v>
      </c>
      <c r="E50" s="458">
        <f t="shared" si="28"/>
        <v>-0.51864336393849553</v>
      </c>
      <c r="F50" s="458">
        <f t="shared" si="28"/>
        <v>5.1807904826687123E-2</v>
      </c>
      <c r="G50" s="458">
        <f t="shared" si="28"/>
        <v>0.40639101109898501</v>
      </c>
      <c r="H50" s="556">
        <f t="shared" ref="H50" si="33">(H37-(600*8.75%/4))/1250.367223</f>
        <v>6.3450959478645874E-2</v>
      </c>
      <c r="I50" s="556">
        <f t="shared" ref="I50" si="34">(I37-(600*8.75%/4))/1250.367223</f>
        <v>8.1992712312165275E-2</v>
      </c>
      <c r="J50" s="556">
        <f t="shared" ref="J50" si="35">(J37-(600*8.75%/4))/1250.367223</f>
        <v>0.12511284454870905</v>
      </c>
      <c r="K50" s="556">
        <f t="shared" ref="K50:M50" si="36">(K37-(600*8.75%/4))/1250.367223</f>
        <v>0.13326964825596688</v>
      </c>
      <c r="L50" s="539">
        <f t="shared" si="36"/>
        <v>8.5221363804095798E-2</v>
      </c>
      <c r="M50" s="865">
        <f t="shared" si="36"/>
        <v>0.21134111254610197</v>
      </c>
      <c r="N50" s="539">
        <f>(N37-52.5*(3/4))/1250.367223</f>
        <v>0.55183468288979609</v>
      </c>
      <c r="O50" s="535">
        <f>(O37-52.5*(3/4))/1250.367223</f>
        <v>0.42983212460616443</v>
      </c>
    </row>
    <row r="51" spans="2:18" ht="24" customHeight="1" x14ac:dyDescent="0.2">
      <c r="B51" s="275" t="s">
        <v>264</v>
      </c>
      <c r="C51" s="529">
        <f>(C36)*4/5524</f>
        <v>2.1949415694108392E-2</v>
      </c>
      <c r="D51" s="529">
        <f>((D36*4)-28.264)/AVERAGE(C44:D44)</f>
        <v>4.8555158886065874E-2</v>
      </c>
      <c r="E51" s="386">
        <f>(E36*4-28.264)/AVERAGE(D44:E44)</f>
        <v>6.1947132513431397E-2</v>
      </c>
      <c r="F51" s="386">
        <f>(F36*4-28.264)/AVERAGE(E44:F44)</f>
        <v>-1.1316953922017998E-2</v>
      </c>
      <c r="G51" s="386">
        <f t="shared" ref="G51:L51" si="37">(G36-(600*8.75%/4))*4/AVERAGE(F44:G44)</f>
        <v>9.4967523923990743E-2</v>
      </c>
      <c r="H51" s="529">
        <f t="shared" si="37"/>
        <v>5.0295936613757503E-2</v>
      </c>
      <c r="I51" s="529">
        <f t="shared" si="37"/>
        <v>7.7281648332619413E-2</v>
      </c>
      <c r="J51" s="529">
        <f t="shared" si="37"/>
        <v>0.13470972475359425</v>
      </c>
      <c r="K51" s="529">
        <f t="shared" si="37"/>
        <v>0.13296419185821182</v>
      </c>
      <c r="L51" s="387">
        <f t="shared" si="37"/>
        <v>0.15323776871712289</v>
      </c>
      <c r="M51" s="866">
        <f>(M36-(600*8.75%/4))*4/AVERAGE(L44:M44)</f>
        <v>0.17587722613844006</v>
      </c>
      <c r="N51" s="387">
        <f>(N36*(4/3)-52.5)/AVERAGE(I44,F44)</f>
        <v>7.5220368777834612E-2</v>
      </c>
      <c r="O51" s="423">
        <f>(O36*(4/3)-52.5)/AVERAGE(M44,J44)</f>
        <v>0.15382781060878062</v>
      </c>
      <c r="R51" s="386"/>
    </row>
    <row r="52" spans="2:18" ht="24" customHeight="1" x14ac:dyDescent="0.2">
      <c r="B52" s="275" t="s">
        <v>265</v>
      </c>
      <c r="C52" s="557">
        <f>(C36)*4/((C40+69948)/2)</f>
        <v>1.7083348984812993E-3</v>
      </c>
      <c r="D52" s="558">
        <f>(D36*4-28.264)/((D40+C40)/2)</f>
        <v>3.9219645815910366E-3</v>
      </c>
      <c r="E52" s="460">
        <f>(E36*4-28.264)/((E40+D40)/2)</f>
        <v>4.2851373688461885E-3</v>
      </c>
      <c r="F52" s="460">
        <f>(F36*4-28.264)/((F40+E40)/2)</f>
        <v>-7.1994003904924308E-4</v>
      </c>
      <c r="G52" s="460">
        <f t="shared" ref="G52:L52" si="38">(G36-(600*8.75%/4))*4/((G40+F40)/2)</f>
        <v>6.1616779953254895E-3</v>
      </c>
      <c r="H52" s="558">
        <f t="shared" si="38"/>
        <v>3.3136193697674053E-3</v>
      </c>
      <c r="I52" s="558">
        <f t="shared" si="38"/>
        <v>5.0476316985741598E-3</v>
      </c>
      <c r="J52" s="558">
        <f t="shared" si="38"/>
        <v>9.5078207921723539E-3</v>
      </c>
      <c r="K52" s="558">
        <f t="shared" si="38"/>
        <v>1.024404814771133E-2</v>
      </c>
      <c r="L52" s="540">
        <f t="shared" si="38"/>
        <v>1.1867282303307901E-2</v>
      </c>
      <c r="M52" s="867">
        <f>(M36-(600*8.75%/4))*4/((M40+L40)/2)</f>
        <v>1.3610737019293852E-2</v>
      </c>
      <c r="N52" s="540">
        <f>(N36*(4/3)-52.5)/((N40+F40)/2)</f>
        <v>4.8383288728713536E-3</v>
      </c>
      <c r="O52" s="536">
        <f>(O36*(4/3)-52.5)/((O40+J40)/2)</f>
        <v>1.1844540813499962E-2</v>
      </c>
    </row>
    <row r="53" spans="2:18" ht="24" customHeight="1" x14ac:dyDescent="0.2">
      <c r="B53" s="275" t="s">
        <v>310</v>
      </c>
      <c r="C53" s="361">
        <f>C34/(C10+C11-C12)</f>
        <v>1.3879553400545233E-2</v>
      </c>
      <c r="D53" s="361">
        <f>(D34-2.014)/(D10+D11-D12)</f>
        <v>0.15649826650544366</v>
      </c>
      <c r="E53" s="462">
        <f t="shared" ref="E53:I53" si="39">(E34-(600*8.75%/4))/(E10+E11-E12)</f>
        <v>0.17775350056415518</v>
      </c>
      <c r="F53" s="462">
        <f t="shared" si="39"/>
        <v>-3.9197070419884128E-2</v>
      </c>
      <c r="G53" s="462">
        <f t="shared" si="39"/>
        <v>0.12524009264707187</v>
      </c>
      <c r="H53" s="599">
        <f t="shared" si="39"/>
        <v>0.21471619239714787</v>
      </c>
      <c r="I53" s="599">
        <f t="shared" si="39"/>
        <v>0.21574101213730262</v>
      </c>
      <c r="J53" s="599">
        <f>(J34-(600*8.75%/4))/(J10+J11-J12)</f>
        <v>0.29935585436041989</v>
      </c>
      <c r="K53" s="599">
        <f>(K34-(600*8.75%/4))/(K10+K11-K12)</f>
        <v>0.32065229818843205</v>
      </c>
      <c r="L53" s="541">
        <f>(L34-(600*8.75%/4))/(L10+L11-L12)</f>
        <v>0.30547343120933362</v>
      </c>
      <c r="M53" s="868">
        <f>(M34-(600*8.75%/4))/(M10+M11-M12)</f>
        <v>0.422982872753706</v>
      </c>
      <c r="N53" s="541">
        <f>(N34-(600*8.75%))/(N10+N11-N12)</f>
        <v>0.17729911098877901</v>
      </c>
      <c r="O53" s="537">
        <f>(O34-(600*8.75%))/(O10+O11-O12)</f>
        <v>0.34527540599968848</v>
      </c>
    </row>
    <row r="54" spans="2:18" ht="24" customHeight="1" x14ac:dyDescent="0.2">
      <c r="B54" s="275" t="s">
        <v>311</v>
      </c>
      <c r="C54" s="386">
        <f>C42/C41</f>
        <v>0.46188801455112838</v>
      </c>
      <c r="D54" s="386">
        <f>D42/D41</f>
        <v>0.24502949369695495</v>
      </c>
      <c r="E54" s="386">
        <f t="shared" ref="E54" si="40">E42/E41</f>
        <v>0.16726263342843756</v>
      </c>
      <c r="F54" s="386">
        <f>F42/F41</f>
        <v>0.12739482273497998</v>
      </c>
      <c r="G54" s="386">
        <f>G42/G41</f>
        <v>0.12707371265678091</v>
      </c>
      <c r="H54" s="600">
        <f t="shared" ref="H54" si="41">H42/H41</f>
        <v>9.2555666144884877E-2</v>
      </c>
      <c r="I54" s="600">
        <f t="shared" ref="I54" si="42">I42/I41</f>
        <v>8.8307662842805099E-2</v>
      </c>
      <c r="J54" s="600">
        <f t="shared" ref="J54:O54" si="43">J42/J41</f>
        <v>6.7550540433713363E-2</v>
      </c>
      <c r="K54" s="600">
        <f t="shared" si="43"/>
        <v>6.6303389443239713E-2</v>
      </c>
      <c r="L54" s="542">
        <f t="shared" si="43"/>
        <v>5.538521689293889E-2</v>
      </c>
      <c r="M54" s="869">
        <f t="shared" si="43"/>
        <v>5.4840640619781847E-2</v>
      </c>
      <c r="N54" s="542">
        <f t="shared" si="43"/>
        <v>8.8307662842805099E-2</v>
      </c>
      <c r="O54" s="538">
        <f t="shared" si="43"/>
        <v>5.4840640619781847E-2</v>
      </c>
    </row>
    <row r="55" spans="2:18" ht="24" customHeight="1" x14ac:dyDescent="0.2">
      <c r="B55" s="275" t="s">
        <v>287</v>
      </c>
      <c r="C55" s="386">
        <f>NII!C32</f>
        <v>2.0600103559544593E-2</v>
      </c>
      <c r="D55" s="386">
        <f>NII!D32</f>
        <v>2.2146419115178746E-2</v>
      </c>
      <c r="E55" s="386">
        <f>NII!E32</f>
        <v>1.6989288277305222E-2</v>
      </c>
      <c r="F55" s="386">
        <f>NII!F32</f>
        <v>1.6587115223003476E-2</v>
      </c>
      <c r="G55" s="386">
        <f>NII!G32</f>
        <v>1.4513780822707293E-2</v>
      </c>
      <c r="H55" s="600">
        <f>NII!H32</f>
        <v>1.5170293643069429E-2</v>
      </c>
      <c r="I55" s="600">
        <f>NII!I32</f>
        <v>1.6086041285755897E-2</v>
      </c>
      <c r="J55" s="600">
        <f>NII!J32</f>
        <v>2.1971872672315748E-2</v>
      </c>
      <c r="K55" s="600">
        <f>NII!K32</f>
        <v>2.402130891999836E-2</v>
      </c>
      <c r="L55" s="542">
        <f>NII!L32</f>
        <v>2.5730816441364001E-2</v>
      </c>
      <c r="M55" s="869">
        <f>NII!M32</f>
        <v>2.7206651241827556E-2</v>
      </c>
      <c r="N55" s="542">
        <f>(N10*(4/3))/AVERAGE(N40,F40)</f>
        <v>1.5285702126147289E-2</v>
      </c>
      <c r="O55" s="538">
        <f>(O10*(4/3))/AVERAGE(O40,J40)</f>
        <v>2.5484502719350769E-2</v>
      </c>
    </row>
    <row r="56" spans="2:18" ht="24" customHeight="1" x14ac:dyDescent="0.2">
      <c r="B56" s="275" t="s">
        <v>266</v>
      </c>
      <c r="C56" s="459">
        <f>((C11-C12)*4)/((C40+69948)/2)</f>
        <v>4.2250181517457424E-3</v>
      </c>
      <c r="D56" s="459">
        <f t="shared" ref="D56:M56" si="44">(D11-D12)*4/((D40+C40)/2)</f>
        <v>5.4735407468387608E-3</v>
      </c>
      <c r="E56" s="459">
        <f t="shared" si="44"/>
        <v>5.4169816132881264E-3</v>
      </c>
      <c r="F56" s="459">
        <f t="shared" si="44"/>
        <v>6.0317880650913782E-3</v>
      </c>
      <c r="G56" s="459">
        <f t="shared" si="44"/>
        <v>5.3669600501901312E-3</v>
      </c>
      <c r="H56" s="558">
        <f t="shared" si="44"/>
        <v>6.0353077361789877E-3</v>
      </c>
      <c r="I56" s="558">
        <f t="shared" si="44"/>
        <v>6.1026832960260268E-3</v>
      </c>
      <c r="J56" s="558">
        <f t="shared" si="44"/>
        <v>6.4539936337312956E-3</v>
      </c>
      <c r="K56" s="558">
        <f t="shared" si="44"/>
        <v>6.5391418595083109E-3</v>
      </c>
      <c r="L56" s="540">
        <f t="shared" si="44"/>
        <v>7.4589828407288193E-3</v>
      </c>
      <c r="M56" s="867">
        <f t="shared" si="44"/>
        <v>7.1672122963489203E-3</v>
      </c>
      <c r="N56" s="540">
        <f>(N11-N12)*(4/3)/((N40+F40)/2)</f>
        <v>5.8470927718626406E-3</v>
      </c>
      <c r="O56" s="536">
        <f>(O11-O12)*(4/3)/((O40+J40)/2)</f>
        <v>7.0060709602821382E-3</v>
      </c>
    </row>
    <row r="57" spans="2:18" ht="24" customHeight="1" thickBot="1" x14ac:dyDescent="0.25">
      <c r="B57" s="275" t="s">
        <v>312</v>
      </c>
      <c r="C57" s="461">
        <f t="shared" ref="C57:J57" si="45">-(C21-C22)/(C10+C11-C12)</f>
        <v>0.48083850034358</v>
      </c>
      <c r="D57" s="461">
        <f t="shared" si="45"/>
        <v>0.4196578846019734</v>
      </c>
      <c r="E57" s="461">
        <f t="shared" si="45"/>
        <v>0.52375480891649029</v>
      </c>
      <c r="F57" s="461">
        <f t="shared" si="45"/>
        <v>0.5120443086812716</v>
      </c>
      <c r="G57" s="461">
        <f t="shared" si="45"/>
        <v>0.50550950490774482</v>
      </c>
      <c r="H57" s="461">
        <f t="shared" si="45"/>
        <v>0.48368386263337726</v>
      </c>
      <c r="I57" s="599">
        <f t="shared" si="45"/>
        <v>0.46443302284055094</v>
      </c>
      <c r="J57" s="783">
        <f t="shared" si="45"/>
        <v>0.37959555512107929</v>
      </c>
      <c r="K57" s="783">
        <f t="shared" ref="K57:O57" si="46">-(K21-K22)/(K10+K11-K12)</f>
        <v>0.35680978271385166</v>
      </c>
      <c r="L57" s="717">
        <f t="shared" si="46"/>
        <v>0.31632961700937368</v>
      </c>
      <c r="M57" s="870">
        <f t="shared" si="46"/>
        <v>0.28970153784737124</v>
      </c>
      <c r="N57" s="717">
        <f t="shared" si="46"/>
        <v>0.48350236624469811</v>
      </c>
      <c r="O57" s="622">
        <f t="shared" si="46"/>
        <v>0.31907825057368822</v>
      </c>
    </row>
    <row r="58" spans="2:18" ht="24" customHeight="1" x14ac:dyDescent="0.2">
      <c r="B58" s="378" t="s">
        <v>262</v>
      </c>
      <c r="C58" s="457">
        <f t="shared" ref="C58:G58" si="47">-(C25-C26)/C43*4</f>
        <v>1.5541891882283367E-2</v>
      </c>
      <c r="D58" s="457">
        <f t="shared" si="47"/>
        <v>1.2881177715406708E-2</v>
      </c>
      <c r="E58" s="457">
        <f t="shared" si="47"/>
        <v>1.0061574322515251E-2</v>
      </c>
      <c r="F58" s="457">
        <f>-(F25-F26)/F43*4</f>
        <v>8.3168577674545708E-3</v>
      </c>
      <c r="G58" s="457">
        <f t="shared" si="47"/>
        <v>8.9094384980590389E-3</v>
      </c>
      <c r="H58" s="601">
        <f t="shared" ref="H58" si="48">-(H25-H26)/H43*4</f>
        <v>8.2257359705319808E-3</v>
      </c>
      <c r="I58" s="601">
        <f>-(I25-I26)/I43*4</f>
        <v>8.1059406614046158E-3</v>
      </c>
      <c r="J58" s="784">
        <f>-(J25-J26)/J43*4</f>
        <v>7.8021491403028808E-3</v>
      </c>
      <c r="K58" s="784">
        <f>-(K25-K26)/K43*4</f>
        <v>8.4178368179442173E-3</v>
      </c>
      <c r="L58" s="718">
        <f>-(L25-L26)/L43*4</f>
        <v>1.1414616830149922E-2</v>
      </c>
      <c r="M58" s="871">
        <f>-(M25-M26)/M43*4</f>
        <v>8.3791619210455224E-3</v>
      </c>
      <c r="N58" s="718">
        <f>-(N25-N26)/N43*(4/3)</f>
        <v>8.2808959309369976E-3</v>
      </c>
      <c r="O58" s="627">
        <f>-(O25-O26)/O43*(4/3)</f>
        <v>9.3205959409537222E-3</v>
      </c>
    </row>
    <row r="59" spans="2:18" ht="24" customHeight="1" x14ac:dyDescent="0.2">
      <c r="B59" s="275" t="s">
        <v>450</v>
      </c>
      <c r="C59" s="386">
        <v>0.10110087698960571</v>
      </c>
      <c r="D59" s="386">
        <v>8.8332586334182853E-2</v>
      </c>
      <c r="E59" s="386">
        <v>7.5705221401426617E-2</v>
      </c>
      <c r="F59" s="386">
        <v>8.629527569564327E-2</v>
      </c>
      <c r="G59" s="529">
        <v>9.7720359906705107E-2</v>
      </c>
      <c r="H59" s="529">
        <v>9.5050723061205031E-2</v>
      </c>
      <c r="I59" s="529">
        <v>0.10401128214699894</v>
      </c>
      <c r="J59" s="529">
        <v>0.11537429500178004</v>
      </c>
      <c r="K59" s="529">
        <v>0.12160683641678371</v>
      </c>
      <c r="L59" s="387">
        <v>0.12337089117031681</v>
      </c>
      <c r="M59" s="866">
        <v>0.12874425277295676</v>
      </c>
      <c r="N59" s="387">
        <v>0.10401128214699894</v>
      </c>
      <c r="O59" s="423">
        <v>0.12874425277295676</v>
      </c>
    </row>
    <row r="60" spans="2:18" s="676" customFormat="1" ht="24" customHeight="1" x14ac:dyDescent="0.2">
      <c r="B60" s="455" t="s">
        <v>451</v>
      </c>
      <c r="C60" s="385">
        <v>0.12254656564805029</v>
      </c>
      <c r="D60" s="385">
        <v>0.12909093124538731</v>
      </c>
      <c r="E60" s="385">
        <v>0.12190680406169302</v>
      </c>
      <c r="F60" s="385">
        <v>0.13384913933567932</v>
      </c>
      <c r="G60" s="530">
        <v>0.14550610577225456</v>
      </c>
      <c r="H60" s="530">
        <v>0.14306420459819125</v>
      </c>
      <c r="I60" s="716">
        <v>0.15149375077383412</v>
      </c>
      <c r="J60" s="785">
        <v>0.16397282263208349</v>
      </c>
      <c r="K60" s="864">
        <v>0.16966286420852666</v>
      </c>
      <c r="L60" s="787">
        <v>0.17106045000593989</v>
      </c>
      <c r="M60" s="872">
        <v>0.1755583398694478</v>
      </c>
      <c r="N60" s="787">
        <v>0.15149375077383412</v>
      </c>
      <c r="O60" s="786">
        <v>0.1755583398694478</v>
      </c>
    </row>
    <row r="61" spans="2:18" ht="15.75" customHeight="1" x14ac:dyDescent="0.2">
      <c r="B61" s="937"/>
      <c r="C61" s="937"/>
      <c r="D61" s="937"/>
      <c r="E61" s="937"/>
      <c r="F61" s="937"/>
      <c r="G61" s="937"/>
      <c r="H61" s="937"/>
      <c r="I61" s="937"/>
      <c r="J61" s="937"/>
      <c r="K61" s="937"/>
      <c r="L61" s="937"/>
      <c r="M61" s="831"/>
      <c r="N61" s="810"/>
      <c r="O61" s="810"/>
    </row>
    <row r="62" spans="2:18" x14ac:dyDescent="0.2">
      <c r="B62" s="924" t="s">
        <v>477</v>
      </c>
    </row>
    <row r="63" spans="2:18" x14ac:dyDescent="0.2">
      <c r="B63" s="924" t="s">
        <v>452</v>
      </c>
    </row>
    <row r="64" spans="2:18" ht="14.25" customHeight="1" x14ac:dyDescent="0.2">
      <c r="B64" s="924" t="s">
        <v>453</v>
      </c>
    </row>
    <row r="65" spans="2:2" ht="14.25" customHeight="1" x14ac:dyDescent="0.2">
      <c r="B65" s="924" t="s">
        <v>454</v>
      </c>
    </row>
    <row r="66" spans="2:2" ht="14.25" customHeight="1" x14ac:dyDescent="0.2">
      <c r="B66" s="924" t="s">
        <v>455</v>
      </c>
    </row>
    <row r="67" spans="2:2" ht="14.25" customHeight="1" x14ac:dyDescent="0.2">
      <c r="B67" s="924" t="s">
        <v>456</v>
      </c>
    </row>
    <row r="68" spans="2:2" ht="14.25" customHeight="1" x14ac:dyDescent="0.2">
      <c r="B68" s="628" t="s">
        <v>457</v>
      </c>
    </row>
  </sheetData>
  <mergeCells count="2">
    <mergeCell ref="B61:L61"/>
    <mergeCell ref="B5:O5"/>
  </mergeCells>
  <hyperlinks>
    <hyperlink ref="O2" location="'Cover '!A1" display="Back to Cover" xr:uid="{18E92BD3-11E2-457C-846A-4EB89AC459B6}"/>
  </hyperlinks>
  <printOptions horizontalCentered="1" verticalCentered="1"/>
  <pageMargins left="0" right="0" top="0" bottom="0" header="0" footer="0"/>
  <pageSetup paperSize="8" scale="5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D6B2-46D9-4700-A5A0-5E211DA7B7DC}">
  <sheetPr codeName="Sheet5">
    <pageSetUpPr fitToPage="1"/>
  </sheetPr>
  <dimension ref="A1:U64"/>
  <sheetViews>
    <sheetView showGridLines="0" view="pageBreakPreview" zoomScale="80" zoomScaleNormal="90" zoomScaleSheetLayoutView="80" workbookViewId="0">
      <pane xSplit="2" ySplit="9" topLeftCell="C10" activePane="bottomRight" state="frozen"/>
      <selection pane="topRight" activeCell="C1" sqref="C1"/>
      <selection pane="bottomLeft" activeCell="A10" sqref="A10"/>
      <selection pane="bottomRight" activeCell="D11" sqref="D11"/>
    </sheetView>
  </sheetViews>
  <sheetFormatPr defaultColWidth="9.140625" defaultRowHeight="12.75" x14ac:dyDescent="0.2"/>
  <cols>
    <col min="1" max="1" width="2.42578125" style="36" customWidth="1"/>
    <col min="2" max="2" width="82.85546875" style="36" customWidth="1"/>
    <col min="3" max="15" width="17.42578125" style="36" customWidth="1"/>
    <col min="16" max="16" width="3.5703125" style="36" customWidth="1"/>
    <col min="17" max="16384" width="9.140625" style="36"/>
  </cols>
  <sheetData>
    <row r="1" spans="1:15" s="31" customFormat="1" ht="15.75" customHeight="1" x14ac:dyDescent="0.2">
      <c r="B1" s="36"/>
      <c r="C1" s="36"/>
      <c r="D1" s="36"/>
      <c r="E1" s="36"/>
      <c r="F1" s="36"/>
      <c r="G1" s="36"/>
      <c r="H1" s="36"/>
      <c r="I1" s="36"/>
      <c r="J1" s="36"/>
      <c r="K1" s="36"/>
      <c r="L1" s="36"/>
      <c r="M1" s="36"/>
      <c r="N1" s="36"/>
    </row>
    <row r="2" spans="1:15" s="31" customFormat="1" ht="15.75" customHeight="1" x14ac:dyDescent="0.2">
      <c r="B2" s="36"/>
      <c r="O2" s="32" t="s">
        <v>21</v>
      </c>
    </row>
    <row r="3" spans="1:15" s="31" customFormat="1" ht="15.75" customHeight="1" x14ac:dyDescent="0.2">
      <c r="B3" s="36"/>
      <c r="C3" s="32"/>
      <c r="D3" s="32"/>
      <c r="E3" s="32"/>
      <c r="F3" s="32"/>
      <c r="G3" s="32"/>
      <c r="H3" s="32"/>
      <c r="I3" s="32"/>
      <c r="J3" s="32"/>
      <c r="K3" s="32"/>
      <c r="L3" s="32"/>
      <c r="M3" s="32"/>
      <c r="N3" s="32"/>
    </row>
    <row r="4" spans="1:15" ht="15.75" customHeight="1" x14ac:dyDescent="0.2"/>
    <row r="5" spans="1:15" s="75" customFormat="1" ht="26.25" x14ac:dyDescent="0.2">
      <c r="A5" s="74"/>
      <c r="B5" s="938" t="s">
        <v>212</v>
      </c>
      <c r="C5" s="938"/>
      <c r="D5" s="938"/>
      <c r="E5" s="938"/>
      <c r="F5" s="938"/>
      <c r="G5" s="938"/>
      <c r="H5" s="938"/>
      <c r="I5" s="938"/>
      <c r="J5" s="938"/>
      <c r="K5" s="938"/>
      <c r="L5" s="938"/>
      <c r="M5" s="938"/>
      <c r="N5" s="938"/>
      <c r="O5" s="938"/>
    </row>
    <row r="6" spans="1:15" s="77" customFormat="1" ht="9" customHeight="1" x14ac:dyDescent="0.2">
      <c r="A6" s="74"/>
      <c r="B6" s="76"/>
      <c r="C6" s="76"/>
      <c r="D6" s="76"/>
      <c r="E6" s="76"/>
      <c r="F6" s="76"/>
      <c r="G6" s="76"/>
      <c r="H6" s="76"/>
      <c r="I6" s="76"/>
      <c r="J6" s="76"/>
      <c r="K6" s="76"/>
      <c r="L6" s="76"/>
      <c r="M6" s="76"/>
      <c r="N6" s="76"/>
    </row>
    <row r="7" spans="1:15" s="31" customFormat="1" ht="9" customHeight="1" x14ac:dyDescent="0.2">
      <c r="B7" s="36"/>
      <c r="C7" s="223"/>
      <c r="D7" s="223"/>
      <c r="E7" s="223"/>
      <c r="F7" s="223"/>
      <c r="G7" s="223"/>
      <c r="H7" s="223"/>
      <c r="I7" s="223"/>
      <c r="J7" s="223"/>
      <c r="K7" s="223"/>
      <c r="L7" s="223"/>
      <c r="M7" s="223"/>
      <c r="N7" s="223"/>
    </row>
    <row r="8" spans="1:15" s="31" customFormat="1" ht="15" customHeight="1" x14ac:dyDescent="0.2">
      <c r="B8" s="69" t="s">
        <v>0</v>
      </c>
      <c r="C8" s="916"/>
      <c r="D8" s="916"/>
      <c r="E8" s="916"/>
      <c r="F8" s="916"/>
      <c r="G8" s="916"/>
      <c r="H8" s="916"/>
      <c r="I8" s="916"/>
      <c r="J8" s="916"/>
      <c r="K8" s="916"/>
      <c r="L8" s="916"/>
      <c r="M8" s="916"/>
      <c r="N8" s="916"/>
      <c r="O8" s="916"/>
    </row>
    <row r="9" spans="1:15" s="33" customFormat="1" ht="30" customHeight="1" x14ac:dyDescent="0.2">
      <c r="B9" s="469" t="s">
        <v>441</v>
      </c>
      <c r="C9" s="681" t="s">
        <v>77</v>
      </c>
      <c r="D9" s="681" t="s">
        <v>83</v>
      </c>
      <c r="E9" s="681" t="s">
        <v>88</v>
      </c>
      <c r="F9" s="681" t="s">
        <v>91</v>
      </c>
      <c r="G9" s="681" t="s">
        <v>95</v>
      </c>
      <c r="H9" s="681" t="s">
        <v>163</v>
      </c>
      <c r="I9" s="681" t="s">
        <v>218</v>
      </c>
      <c r="J9" s="681" t="s">
        <v>227</v>
      </c>
      <c r="K9" s="681" t="s">
        <v>250</v>
      </c>
      <c r="L9" s="681" t="s">
        <v>256</v>
      </c>
      <c r="M9" s="681" t="s">
        <v>274</v>
      </c>
      <c r="N9" s="681" t="s">
        <v>275</v>
      </c>
      <c r="O9" s="682" t="s">
        <v>276</v>
      </c>
    </row>
    <row r="10" spans="1:15" s="33" customFormat="1" ht="24" customHeight="1" x14ac:dyDescent="0.2">
      <c r="B10" s="470" t="s">
        <v>1</v>
      </c>
      <c r="C10" s="467">
        <v>365.52100000000002</v>
      </c>
      <c r="D10" s="467">
        <v>406.72900000000004</v>
      </c>
      <c r="E10" s="467">
        <v>319.03500000000003</v>
      </c>
      <c r="F10" s="468">
        <v>318.28100000000001</v>
      </c>
      <c r="G10" s="468">
        <v>285.89500000000004</v>
      </c>
      <c r="H10" s="487">
        <v>305.56799999999998</v>
      </c>
      <c r="I10" s="487">
        <v>330.59200000000004</v>
      </c>
      <c r="J10" s="487">
        <v>430.64700000000005</v>
      </c>
      <c r="K10" s="487">
        <v>446.86599999999999</v>
      </c>
      <c r="L10" s="487">
        <v>487.8</v>
      </c>
      <c r="M10" s="792">
        <v>531.351</v>
      </c>
      <c r="N10" s="487">
        <v>922.05500000000006</v>
      </c>
      <c r="O10" s="471">
        <v>1466.0169999999998</v>
      </c>
    </row>
    <row r="11" spans="1:15" s="33" customFormat="1" ht="24" customHeight="1" x14ac:dyDescent="0.2">
      <c r="B11" s="472" t="s">
        <v>233</v>
      </c>
      <c r="C11" s="473">
        <v>74.967358459967997</v>
      </c>
      <c r="D11" s="473">
        <v>100.52405054030399</v>
      </c>
      <c r="E11" s="473">
        <v>101.72331534947027</v>
      </c>
      <c r="F11" s="474">
        <v>115.74065238800003</v>
      </c>
      <c r="G11" s="474">
        <v>105.719320299264</v>
      </c>
      <c r="H11" s="474">
        <v>121.566329414544</v>
      </c>
      <c r="I11" s="474">
        <v>125.41919048699201</v>
      </c>
      <c r="J11" s="474">
        <v>126.49777457919998</v>
      </c>
      <c r="K11" s="474">
        <v>121.64700000000001</v>
      </c>
      <c r="L11" s="487">
        <v>141.40600000000001</v>
      </c>
      <c r="M11" s="794">
        <v>139.97699999999998</v>
      </c>
      <c r="N11" s="474">
        <v>352.70484020079999</v>
      </c>
      <c r="O11" s="475">
        <v>403.03</v>
      </c>
    </row>
    <row r="12" spans="1:15" s="33" customFormat="1" ht="24" customHeight="1" x14ac:dyDescent="0.2">
      <c r="B12" s="476" t="s">
        <v>213</v>
      </c>
      <c r="C12" s="463">
        <v>-211.8037617006963</v>
      </c>
      <c r="D12" s="463">
        <v>-212.87274214764187</v>
      </c>
      <c r="E12" s="463">
        <v>-220.37419105588617</v>
      </c>
      <c r="F12" s="464">
        <v>-222.23831694971668</v>
      </c>
      <c r="G12" s="464">
        <v>-197.96476116926397</v>
      </c>
      <c r="H12" s="464">
        <v>-206.597982314544</v>
      </c>
      <c r="I12" s="464">
        <v>-211.78665564699202</v>
      </c>
      <c r="J12" s="464">
        <v>-211.4896799892</v>
      </c>
      <c r="K12" s="464">
        <v>-202.85099999999997</v>
      </c>
      <c r="L12" s="487">
        <v>-199.03649299999998</v>
      </c>
      <c r="M12" s="792">
        <v>-194.48475400000004</v>
      </c>
      <c r="N12" s="464">
        <v>-616.34939913079995</v>
      </c>
      <c r="O12" s="477">
        <v>-596.37224700000002</v>
      </c>
    </row>
    <row r="13" spans="1:15" s="33" customFormat="1" ht="24" customHeight="1" x14ac:dyDescent="0.2">
      <c r="B13" s="909" t="s">
        <v>328</v>
      </c>
      <c r="C13" s="910">
        <v>-96.846999999999994</v>
      </c>
      <c r="D13" s="911">
        <v>-96.47999999999999</v>
      </c>
      <c r="E13" s="912">
        <v>-95.391999999999996</v>
      </c>
      <c r="F13" s="912">
        <v>-91.195999999999998</v>
      </c>
      <c r="G13" s="912">
        <v>-91.200999999999993</v>
      </c>
      <c r="H13" s="912">
        <v>-94.555000000000007</v>
      </c>
      <c r="I13" s="912">
        <v>-101.38835</v>
      </c>
      <c r="J13" s="912">
        <v>-101.642</v>
      </c>
      <c r="K13" s="912">
        <v>-93.546999999999997</v>
      </c>
      <c r="L13" s="912">
        <v>-94.395492999999988</v>
      </c>
      <c r="M13" s="913">
        <v>-94.291753999999997</v>
      </c>
      <c r="N13" s="914">
        <v>-287.14435000000003</v>
      </c>
      <c r="O13" s="915">
        <v>-282.23424699999998</v>
      </c>
    </row>
    <row r="14" spans="1:15" s="33" customFormat="1" ht="24" customHeight="1" x14ac:dyDescent="0.2">
      <c r="B14" s="909" t="s">
        <v>293</v>
      </c>
      <c r="C14" s="910">
        <v>-87.366761700696301</v>
      </c>
      <c r="D14" s="910">
        <v>-88.471742147641876</v>
      </c>
      <c r="E14" s="912">
        <v>-97.352191055886195</v>
      </c>
      <c r="F14" s="912">
        <v>-103.95131694971666</v>
      </c>
      <c r="G14" s="912">
        <v>-81.31903204926401</v>
      </c>
      <c r="H14" s="912">
        <v>-87.151982314544</v>
      </c>
      <c r="I14" s="912">
        <v>-85.185305646991992</v>
      </c>
      <c r="J14" s="912">
        <v>-83.882679989199985</v>
      </c>
      <c r="K14" s="912">
        <v>-83.156999999999996</v>
      </c>
      <c r="L14" s="912">
        <v>-78.429000000000002</v>
      </c>
      <c r="M14" s="913">
        <v>-73.708000000000013</v>
      </c>
      <c r="N14" s="914">
        <v>-253.65632001080002</v>
      </c>
      <c r="O14" s="915">
        <v>-235.29400000000004</v>
      </c>
    </row>
    <row r="15" spans="1:15" s="33" customFormat="1" ht="24" customHeight="1" x14ac:dyDescent="0.2">
      <c r="B15" s="909" t="s">
        <v>329</v>
      </c>
      <c r="C15" s="910">
        <v>-27.59</v>
      </c>
      <c r="D15" s="910">
        <v>-27.920999999999999</v>
      </c>
      <c r="E15" s="912">
        <v>-27.63</v>
      </c>
      <c r="F15" s="912">
        <v>-27.091000000000001</v>
      </c>
      <c r="G15" s="912">
        <v>-25.444729119999998</v>
      </c>
      <c r="H15" s="912">
        <v>-24.890999999999998</v>
      </c>
      <c r="I15" s="912">
        <v>-25.213000000000001</v>
      </c>
      <c r="J15" s="912">
        <v>-25.965</v>
      </c>
      <c r="K15" s="912">
        <v>-26.146999999999998</v>
      </c>
      <c r="L15" s="912">
        <v>-26.212</v>
      </c>
      <c r="M15" s="913">
        <v>-26.484999999999999</v>
      </c>
      <c r="N15" s="914">
        <v>-75.548729120000004</v>
      </c>
      <c r="O15" s="915">
        <v>-78.843999999999994</v>
      </c>
    </row>
    <row r="16" spans="1:15" s="33" customFormat="1" ht="24" customHeight="1" x14ac:dyDescent="0.2">
      <c r="B16" s="476" t="s">
        <v>330</v>
      </c>
      <c r="C16" s="473">
        <v>-102.84829006570808</v>
      </c>
      <c r="D16" s="473">
        <v>-60.479000303506474</v>
      </c>
      <c r="E16" s="473">
        <v>-50.648999848739258</v>
      </c>
      <c r="F16" s="474">
        <v>-43.438999710690339</v>
      </c>
      <c r="G16" s="474">
        <v>-44.036208999999992</v>
      </c>
      <c r="H16" s="474">
        <v>-45.59800000000002</v>
      </c>
      <c r="I16" s="474">
        <v>-44.684999999999988</v>
      </c>
      <c r="J16" s="474">
        <v>-17.424000000000014</v>
      </c>
      <c r="K16" s="474">
        <v>-35.677000000000007</v>
      </c>
      <c r="L16" s="487">
        <v>-68.966475719999991</v>
      </c>
      <c r="M16" s="794">
        <v>-47.152999999999992</v>
      </c>
      <c r="N16" s="464">
        <v>-134.319209</v>
      </c>
      <c r="O16" s="475">
        <v>-151.79647571999999</v>
      </c>
    </row>
    <row r="17" spans="2:17" s="33" customFormat="1" ht="24" customHeight="1" x14ac:dyDescent="0.2">
      <c r="B17" s="476" t="s">
        <v>331</v>
      </c>
      <c r="C17" s="463">
        <v>-42.784525000000002</v>
      </c>
      <c r="D17" s="463">
        <v>-46.636085000000001</v>
      </c>
      <c r="E17" s="463">
        <v>-33.531860999999999</v>
      </c>
      <c r="F17" s="463">
        <v>-29.591712999999984</v>
      </c>
      <c r="G17" s="463">
        <v>-34.092790999999998</v>
      </c>
      <c r="H17" s="464">
        <v>-27.292999999999999</v>
      </c>
      <c r="I17" s="464">
        <v>-28.457000000000001</v>
      </c>
      <c r="J17" s="464">
        <v>-52.601999999999997</v>
      </c>
      <c r="K17" s="464">
        <v>-38.956000000000003</v>
      </c>
      <c r="L17" s="487">
        <v>-33.262410270000004</v>
      </c>
      <c r="M17" s="792">
        <v>-28.524000000000001</v>
      </c>
      <c r="N17" s="464">
        <v>-89.842790999999991</v>
      </c>
      <c r="O17" s="477">
        <v>-100.74241027000001</v>
      </c>
    </row>
    <row r="18" spans="2:17" s="33" customFormat="1" ht="24" customHeight="1" x14ac:dyDescent="0.2">
      <c r="B18" s="472" t="s">
        <v>458</v>
      </c>
      <c r="C18" s="473">
        <v>-24.397000000000002</v>
      </c>
      <c r="D18" s="473">
        <v>-39.49</v>
      </c>
      <c r="E18" s="473">
        <v>-4.7070000000000007</v>
      </c>
      <c r="F18" s="474">
        <v>12.442</v>
      </c>
      <c r="G18" s="474">
        <v>-3.3130000000000011</v>
      </c>
      <c r="H18" s="474">
        <v>-9.418000000000001</v>
      </c>
      <c r="I18" s="474">
        <v>-19.056999999999999</v>
      </c>
      <c r="J18" s="474">
        <v>-38.635000000000005</v>
      </c>
      <c r="K18" s="474">
        <v>-10.359000000000002</v>
      </c>
      <c r="L18" s="487">
        <v>-32.141000000000005</v>
      </c>
      <c r="M18" s="794">
        <v>-17.818999999999996</v>
      </c>
      <c r="N18" s="474">
        <v>-31.788</v>
      </c>
      <c r="O18" s="475">
        <v>-60.319000000000003</v>
      </c>
    </row>
    <row r="19" spans="2:17" s="33" customFormat="1" ht="24" customHeight="1" x14ac:dyDescent="0.2">
      <c r="B19" s="476" t="s">
        <v>332</v>
      </c>
      <c r="C19" s="463">
        <v>-6.069</v>
      </c>
      <c r="D19" s="463">
        <v>-0.92500000000000004</v>
      </c>
      <c r="E19" s="463">
        <v>8.5850000000000009</v>
      </c>
      <c r="F19" s="464">
        <v>16.565999999999999</v>
      </c>
      <c r="G19" s="464">
        <v>-4.4249999999999998</v>
      </c>
      <c r="H19" s="464">
        <v>-4.9989999999999997</v>
      </c>
      <c r="I19" s="464">
        <v>0.27700000000000002</v>
      </c>
      <c r="J19" s="464">
        <v>12.239999999999998</v>
      </c>
      <c r="K19" s="464">
        <v>-10.638999999999999</v>
      </c>
      <c r="L19" s="487">
        <v>-11.848000000000001</v>
      </c>
      <c r="M19" s="792">
        <v>15.715</v>
      </c>
      <c r="N19" s="464">
        <v>-9.1470000000000002</v>
      </c>
      <c r="O19" s="477">
        <v>-6.772000000000002</v>
      </c>
    </row>
    <row r="20" spans="2:17" s="33" customFormat="1" ht="24" customHeight="1" x14ac:dyDescent="0.2">
      <c r="B20" s="478" t="s">
        <v>333</v>
      </c>
      <c r="C20" s="479">
        <f>SUM(C10:C12)+SUM(C16:C19)</f>
        <v>52.585781693563661</v>
      </c>
      <c r="D20" s="479">
        <f t="shared" ref="D20:O20" si="0">SUM(D10:D12)+SUM(D16:D19)</f>
        <v>146.85022308915563</v>
      </c>
      <c r="E20" s="479">
        <f t="shared" si="0"/>
        <v>120.08126344484489</v>
      </c>
      <c r="F20" s="479">
        <f t="shared" si="0"/>
        <v>167.76062272759299</v>
      </c>
      <c r="G20" s="479">
        <f t="shared" si="0"/>
        <v>107.78255913000007</v>
      </c>
      <c r="H20" s="479">
        <f t="shared" si="0"/>
        <v>133.22834709999995</v>
      </c>
      <c r="I20" s="479">
        <f t="shared" si="0"/>
        <v>152.30253484000005</v>
      </c>
      <c r="J20" s="479">
        <f t="shared" si="0"/>
        <v>249.23409458999996</v>
      </c>
      <c r="K20" s="479">
        <f t="shared" si="0"/>
        <v>270.03100000000001</v>
      </c>
      <c r="L20" s="479">
        <f t="shared" si="0"/>
        <v>283.95162101000005</v>
      </c>
      <c r="M20" s="479">
        <f>SUM(M10:M12)+SUM(M16:M19)</f>
        <v>399.06224599999996</v>
      </c>
      <c r="N20" s="479">
        <f>SUM(N10:N12)+SUM(N16:N19)</f>
        <v>393.31344107000007</v>
      </c>
      <c r="O20" s="801">
        <f t="shared" si="0"/>
        <v>953.04486700999973</v>
      </c>
    </row>
    <row r="21" spans="2:17" s="33" customFormat="1" ht="24" customHeight="1" x14ac:dyDescent="0.2">
      <c r="B21" s="470" t="s">
        <v>173</v>
      </c>
      <c r="C21" s="467">
        <v>-46.384</v>
      </c>
      <c r="D21" s="467">
        <v>-64.501000000000005</v>
      </c>
      <c r="E21" s="467">
        <v>-32.261000000000003</v>
      </c>
      <c r="F21" s="487">
        <v>-173.16</v>
      </c>
      <c r="G21" s="487">
        <v>-22.04</v>
      </c>
      <c r="H21" s="487">
        <v>-0.28899999999999998</v>
      </c>
      <c r="I21" s="487">
        <v>-55.845999999999997</v>
      </c>
      <c r="J21" s="487">
        <v>-61.52</v>
      </c>
      <c r="K21" s="487">
        <v>-75.64</v>
      </c>
      <c r="L21" s="487">
        <v>-14.627000000000001</v>
      </c>
      <c r="M21" s="792">
        <v>-102.38800000000001</v>
      </c>
      <c r="N21" s="487">
        <v>-78.174999999999997</v>
      </c>
      <c r="O21" s="471">
        <v>-192.655</v>
      </c>
    </row>
    <row r="22" spans="2:17" s="33" customFormat="1" ht="24" customHeight="1" x14ac:dyDescent="0.2">
      <c r="B22" s="470" t="s">
        <v>257</v>
      </c>
      <c r="C22" s="799">
        <v>0</v>
      </c>
      <c r="D22" s="799">
        <v>0</v>
      </c>
      <c r="E22" s="799">
        <v>0</v>
      </c>
      <c r="F22" s="800">
        <v>0</v>
      </c>
      <c r="G22" s="800">
        <v>-46.828745373799997</v>
      </c>
      <c r="H22" s="800">
        <v>-28.147690246</v>
      </c>
      <c r="I22" s="800">
        <v>-40.991219058400013</v>
      </c>
      <c r="J22" s="800">
        <v>-69.888544593399999</v>
      </c>
      <c r="K22" s="800">
        <v>-75.64</v>
      </c>
      <c r="L22" s="800">
        <v>-79.180905252499997</v>
      </c>
      <c r="M22" s="794">
        <v>-102.38800000000001</v>
      </c>
      <c r="N22" s="800">
        <v>-115.96765467820001</v>
      </c>
      <c r="O22" s="475">
        <v>-257.20890525250002</v>
      </c>
    </row>
    <row r="23" spans="2:17" s="33" customFormat="1" ht="24" customHeight="1" x14ac:dyDescent="0.2">
      <c r="B23" s="472" t="s">
        <v>209</v>
      </c>
      <c r="C23" s="480">
        <v>-8.7999999999999995E-2</v>
      </c>
      <c r="D23" s="480">
        <v>-0.95099999999999996</v>
      </c>
      <c r="E23" s="480">
        <v>9.6000000000000002E-2</v>
      </c>
      <c r="F23" s="480">
        <v>1.512</v>
      </c>
      <c r="G23" s="480">
        <v>1.2170000000000001</v>
      </c>
      <c r="H23" s="481">
        <v>-0.24299999999999999</v>
      </c>
      <c r="I23" s="481">
        <v>0.19400000000000001</v>
      </c>
      <c r="J23" s="481">
        <v>0.56399999999999995</v>
      </c>
      <c r="K23" s="481">
        <v>1.0289999999999999</v>
      </c>
      <c r="L23" s="481">
        <v>0.56000000000000005</v>
      </c>
      <c r="M23" s="793">
        <v>0.41099999999999998</v>
      </c>
      <c r="N23" s="481">
        <v>1.1680000000000001</v>
      </c>
      <c r="O23" s="482">
        <v>2</v>
      </c>
    </row>
    <row r="24" spans="2:17" s="33" customFormat="1" ht="24" customHeight="1" x14ac:dyDescent="0.2">
      <c r="B24" s="478" t="s">
        <v>334</v>
      </c>
      <c r="C24" s="479">
        <f>SUM(C20:C23)</f>
        <v>6.1137816935636602</v>
      </c>
      <c r="D24" s="479">
        <f t="shared" ref="D24:F24" si="1">SUM(D20:D23)</f>
        <v>81.398223089155636</v>
      </c>
      <c r="E24" s="479">
        <f t="shared" si="1"/>
        <v>87.916263444844901</v>
      </c>
      <c r="F24" s="479">
        <f t="shared" si="1"/>
        <v>-3.8873772724070084</v>
      </c>
      <c r="G24" s="479">
        <f>G20+G22+G23</f>
        <v>62.170813756200069</v>
      </c>
      <c r="H24" s="479">
        <f>H20+H22+H23</f>
        <v>104.83765685399996</v>
      </c>
      <c r="I24" s="479">
        <f t="shared" ref="I24:N24" si="2">I20+I22+I23</f>
        <v>111.50531578160003</v>
      </c>
      <c r="J24" s="479">
        <f t="shared" si="2"/>
        <v>179.90954999659996</v>
      </c>
      <c r="K24" s="479">
        <f t="shared" si="2"/>
        <v>195.42000000000002</v>
      </c>
      <c r="L24" s="479">
        <f t="shared" si="2"/>
        <v>205.33071575750006</v>
      </c>
      <c r="M24" s="479">
        <f t="shared" si="2"/>
        <v>297.08524599999993</v>
      </c>
      <c r="N24" s="479">
        <f t="shared" si="2"/>
        <v>278.51378639180007</v>
      </c>
      <c r="O24" s="801">
        <f>O20+O22+O23</f>
        <v>697.83596175749972</v>
      </c>
    </row>
    <row r="25" spans="2:17" s="33" customFormat="1" ht="14.25" customHeight="1" x14ac:dyDescent="0.2">
      <c r="B25" s="488"/>
      <c r="C25" s="489"/>
      <c r="D25" s="489"/>
      <c r="E25" s="489"/>
      <c r="F25" s="489"/>
      <c r="G25" s="489"/>
      <c r="H25" s="489"/>
      <c r="I25" s="489"/>
      <c r="J25" s="489"/>
      <c r="K25" s="489"/>
      <c r="L25" s="489"/>
      <c r="M25" s="489"/>
      <c r="N25" s="489"/>
      <c r="O25" s="490"/>
    </row>
    <row r="26" spans="2:17" s="33" customFormat="1" ht="24" customHeight="1" x14ac:dyDescent="0.2">
      <c r="B26" s="495" t="s">
        <v>432</v>
      </c>
      <c r="C26" s="496">
        <v>0</v>
      </c>
      <c r="D26" s="496">
        <v>-2.0139999999999998</v>
      </c>
      <c r="E26" s="496">
        <v>-13.125</v>
      </c>
      <c r="F26" s="496">
        <v>-13.125</v>
      </c>
      <c r="G26" s="496">
        <v>-13.125</v>
      </c>
      <c r="H26" s="496">
        <v>-13.125</v>
      </c>
      <c r="I26" s="496">
        <v>-13.125</v>
      </c>
      <c r="J26" s="496">
        <v>-13.125</v>
      </c>
      <c r="K26" s="496">
        <v>-13.125</v>
      </c>
      <c r="L26" s="496">
        <v>-13.125</v>
      </c>
      <c r="M26" s="496">
        <v>-13.125</v>
      </c>
      <c r="N26" s="496">
        <f>-13.125*3</f>
        <v>-39.375</v>
      </c>
      <c r="O26" s="497">
        <f>-13.125*3</f>
        <v>-39.375</v>
      </c>
      <c r="Q26" s="251"/>
    </row>
    <row r="27" spans="2:17" s="33" customFormat="1" ht="24" customHeight="1" x14ac:dyDescent="0.2">
      <c r="B27" s="498" t="s">
        <v>433</v>
      </c>
      <c r="C27" s="499">
        <f>C24+C26</f>
        <v>6.1137816935636602</v>
      </c>
      <c r="D27" s="499">
        <f>D24+D26</f>
        <v>79.38422308915564</v>
      </c>
      <c r="E27" s="499">
        <f>E24+E26</f>
        <v>74.791263444844901</v>
      </c>
      <c r="F27" s="499">
        <f>F24+F26</f>
        <v>-17.012377272407008</v>
      </c>
      <c r="G27" s="499">
        <f t="shared" ref="G27" si="3">G24+G26</f>
        <v>49.045813756200069</v>
      </c>
      <c r="H27" s="499">
        <f t="shared" ref="H27" si="4">H24+H26</f>
        <v>91.71265685399996</v>
      </c>
      <c r="I27" s="499">
        <f t="shared" ref="I27:L27" si="5">I24+I26</f>
        <v>98.380315781600032</v>
      </c>
      <c r="J27" s="499">
        <f t="shared" si="5"/>
        <v>166.78454999659996</v>
      </c>
      <c r="K27" s="499">
        <f t="shared" si="5"/>
        <v>182.29500000000002</v>
      </c>
      <c r="L27" s="499">
        <f t="shared" si="5"/>
        <v>192.20571575750006</v>
      </c>
      <c r="M27" s="499">
        <f>M24+M26</f>
        <v>283.96024599999993</v>
      </c>
      <c r="N27" s="499">
        <f>N24+N26</f>
        <v>239.13878639180007</v>
      </c>
      <c r="O27" s="500">
        <f>O24+O26</f>
        <v>658.46096175749972</v>
      </c>
    </row>
    <row r="28" spans="2:17" s="33" customFormat="1" ht="24" customHeight="1" x14ac:dyDescent="0.2">
      <c r="B28" s="501" t="s">
        <v>214</v>
      </c>
      <c r="C28" s="502">
        <f>C27/(C52/1000000)</f>
        <v>4.8895888992474493E-3</v>
      </c>
      <c r="D28" s="502">
        <f>D27/(C52/1000000)</f>
        <v>6.3488726854731087E-2</v>
      </c>
      <c r="E28" s="502">
        <f>E27/(C52/1000000)</f>
        <v>5.9815438272125036E-2</v>
      </c>
      <c r="F28" s="502">
        <f>F27/(C52/1000000)</f>
        <v>-1.3605904697013166E-2</v>
      </c>
      <c r="G28" s="502">
        <f>G27/(C52/1000000)</f>
        <v>3.9225127509760441E-2</v>
      </c>
      <c r="H28" s="502">
        <f>H27/(C52/1000000)</f>
        <v>7.3348577255531566E-2</v>
      </c>
      <c r="I28" s="502">
        <f>I27/(C52/1000000)</f>
        <v>7.8681137806505055E-2</v>
      </c>
      <c r="J28" s="502">
        <f>J27/(C52/1000000)</f>
        <v>0.13338845335087607</v>
      </c>
      <c r="K28" s="502">
        <f>K27/(C52/1000000)</f>
        <v>0.14579316911604617</v>
      </c>
      <c r="L28" s="502">
        <f>L27/(C52/1000000)</f>
        <v>0.15371941316275217</v>
      </c>
      <c r="M28" s="502">
        <f>M27/(C52/1000000)</f>
        <v>0.22710147929077626</v>
      </c>
      <c r="N28" s="502">
        <f>N27/(C52/1000000)</f>
        <v>0.19125484257179706</v>
      </c>
      <c r="O28" s="503">
        <f>O27/(C52/1000000)</f>
        <v>0.52661406156957435</v>
      </c>
    </row>
    <row r="29" spans="2:17" s="33" customFormat="1" ht="14.25" customHeight="1" x14ac:dyDescent="0.2">
      <c r="B29" s="488"/>
      <c r="C29" s="489"/>
      <c r="D29" s="489"/>
      <c r="E29" s="489"/>
      <c r="F29" s="489"/>
      <c r="G29" s="489"/>
      <c r="H29" s="489"/>
      <c r="I29" s="489"/>
      <c r="J29" s="489"/>
      <c r="K29" s="489"/>
      <c r="L29" s="489"/>
      <c r="M29" s="489"/>
      <c r="N29" s="489"/>
      <c r="O29" s="490"/>
    </row>
    <row r="30" spans="2:17" s="33" customFormat="1" ht="24" customHeight="1" x14ac:dyDescent="0.2">
      <c r="B30" s="478" t="s">
        <v>334</v>
      </c>
      <c r="C30" s="479">
        <f t="shared" ref="C30:G30" si="6">C24</f>
        <v>6.1137816935636602</v>
      </c>
      <c r="D30" s="479">
        <f t="shared" si="6"/>
        <v>81.398223089155636</v>
      </c>
      <c r="E30" s="479">
        <f t="shared" si="6"/>
        <v>87.916263444844901</v>
      </c>
      <c r="F30" s="479">
        <f t="shared" si="6"/>
        <v>-3.8873772724070084</v>
      </c>
      <c r="G30" s="479">
        <f t="shared" si="6"/>
        <v>62.170813756200069</v>
      </c>
      <c r="H30" s="479">
        <f t="shared" ref="H30" si="7">H24</f>
        <v>104.83765685399996</v>
      </c>
      <c r="I30" s="479">
        <f t="shared" ref="I30" si="8">I24</f>
        <v>111.50531578160003</v>
      </c>
      <c r="J30" s="479">
        <f>J24</f>
        <v>179.90954999659996</v>
      </c>
      <c r="K30" s="479">
        <f t="shared" ref="K30:O30" si="9">K24</f>
        <v>195.42000000000002</v>
      </c>
      <c r="L30" s="479">
        <f t="shared" si="9"/>
        <v>205.33071575750006</v>
      </c>
      <c r="M30" s="479">
        <f t="shared" si="9"/>
        <v>297.08524599999993</v>
      </c>
      <c r="N30" s="479">
        <f t="shared" si="9"/>
        <v>278.51378639180007</v>
      </c>
      <c r="O30" s="801">
        <f t="shared" si="9"/>
        <v>697.83596175749972</v>
      </c>
    </row>
    <row r="31" spans="2:17" s="33" customFormat="1" ht="24" customHeight="1" x14ac:dyDescent="0.2">
      <c r="B31" s="472" t="s">
        <v>459</v>
      </c>
      <c r="C31" s="473">
        <v>16.26400000000001</v>
      </c>
      <c r="D31" s="473">
        <v>-6.7029660000000035</v>
      </c>
      <c r="E31" s="473">
        <v>1.1479999999999997</v>
      </c>
      <c r="F31" s="474">
        <v>8.2949999999999875</v>
      </c>
      <c r="G31" s="474">
        <v>74.689000000000021</v>
      </c>
      <c r="H31" s="474">
        <v>-41.676999999999992</v>
      </c>
      <c r="I31" s="474">
        <v>12.161000000000001</v>
      </c>
      <c r="J31" s="474">
        <v>-3.6300000000000008</v>
      </c>
      <c r="K31" s="474">
        <v>9.7540000000000013</v>
      </c>
      <c r="L31" s="474">
        <v>29.241999999999997</v>
      </c>
      <c r="M31" s="794">
        <v>-7.8949999999999996</v>
      </c>
      <c r="N31" s="474">
        <v>45.173000000000116</v>
      </c>
      <c r="O31" s="802">
        <v>31.100999999999996</v>
      </c>
    </row>
    <row r="32" spans="2:17" s="33" customFormat="1" ht="24" customHeight="1" x14ac:dyDescent="0.2">
      <c r="B32" s="472" t="s">
        <v>460</v>
      </c>
      <c r="C32" s="473">
        <v>7.9343613800000004</v>
      </c>
      <c r="D32" s="473">
        <v>4.3993956699999996</v>
      </c>
      <c r="E32" s="473">
        <v>-1.5293951699999997</v>
      </c>
      <c r="F32" s="474">
        <v>-11.156154820000001</v>
      </c>
      <c r="G32" s="474">
        <v>-2.3609999999999998</v>
      </c>
      <c r="H32" s="474">
        <v>16.709</v>
      </c>
      <c r="I32" s="474">
        <v>-6.8050000000000006</v>
      </c>
      <c r="J32" s="474">
        <v>23.198</v>
      </c>
      <c r="K32" s="474">
        <v>-1.48</v>
      </c>
      <c r="L32" s="474">
        <v>3.5300000000000002</v>
      </c>
      <c r="M32" s="794">
        <v>-10.244999999999999</v>
      </c>
      <c r="N32" s="474">
        <v>7.543000000000001</v>
      </c>
      <c r="O32" s="802">
        <v>-8.1950000000000003</v>
      </c>
    </row>
    <row r="33" spans="2:21" s="33" customFormat="1" ht="24" customHeight="1" x14ac:dyDescent="0.2">
      <c r="B33" s="478" t="s">
        <v>336</v>
      </c>
      <c r="C33" s="479">
        <f>C30+C31+C32</f>
        <v>30.312143073563668</v>
      </c>
      <c r="D33" s="479">
        <f t="shared" ref="D33:O33" si="10">D30+D31+D32</f>
        <v>79.094652759155636</v>
      </c>
      <c r="E33" s="479">
        <f t="shared" si="10"/>
        <v>87.534868274844897</v>
      </c>
      <c r="F33" s="479">
        <f t="shared" si="10"/>
        <v>-6.7485320924070216</v>
      </c>
      <c r="G33" s="479">
        <f t="shared" si="10"/>
        <v>134.49881375620009</v>
      </c>
      <c r="H33" s="479">
        <f t="shared" si="10"/>
        <v>79.86965685399997</v>
      </c>
      <c r="I33" s="479">
        <f t="shared" si="10"/>
        <v>116.86131578160003</v>
      </c>
      <c r="J33" s="479">
        <f t="shared" si="10"/>
        <v>199.47754999659998</v>
      </c>
      <c r="K33" s="479">
        <f t="shared" si="10"/>
        <v>203.69400000000002</v>
      </c>
      <c r="L33" s="479">
        <f t="shared" si="10"/>
        <v>238.10271575750005</v>
      </c>
      <c r="M33" s="479">
        <f t="shared" si="10"/>
        <v>278.94524599999994</v>
      </c>
      <c r="N33" s="479">
        <f t="shared" si="10"/>
        <v>331.22978639180019</v>
      </c>
      <c r="O33" s="801">
        <f t="shared" si="10"/>
        <v>720.74196175749967</v>
      </c>
    </row>
    <row r="34" spans="2:21" s="33" customFormat="1" ht="14.25" customHeight="1" x14ac:dyDescent="0.2">
      <c r="B34" s="488"/>
      <c r="C34" s="489"/>
      <c r="D34" s="489"/>
      <c r="E34" s="489"/>
      <c r="F34" s="489"/>
      <c r="G34" s="489"/>
      <c r="H34" s="489"/>
      <c r="I34" s="489"/>
      <c r="J34" s="489"/>
      <c r="K34" s="489"/>
      <c r="L34" s="489"/>
      <c r="M34" s="489"/>
      <c r="N34" s="489"/>
      <c r="O34" s="490"/>
      <c r="R34" s="250"/>
    </row>
    <row r="35" spans="2:21" s="33" customFormat="1" ht="24" customHeight="1" x14ac:dyDescent="0.2">
      <c r="B35" s="495" t="s">
        <v>335</v>
      </c>
      <c r="C35" s="496">
        <v>0</v>
      </c>
      <c r="D35" s="496">
        <v>-2.0139999999999998</v>
      </c>
      <c r="E35" s="496">
        <v>-13.125</v>
      </c>
      <c r="F35" s="496">
        <v>-13.125</v>
      </c>
      <c r="G35" s="496">
        <v>-13.125</v>
      </c>
      <c r="H35" s="496">
        <v>-13.125</v>
      </c>
      <c r="I35" s="496">
        <v>-13.125</v>
      </c>
      <c r="J35" s="496">
        <v>-13.125</v>
      </c>
      <c r="K35" s="496">
        <v>-13.125</v>
      </c>
      <c r="L35" s="496">
        <v>-13.125</v>
      </c>
      <c r="M35" s="496">
        <v>-13.125</v>
      </c>
      <c r="N35" s="496">
        <f>-13.125*3</f>
        <v>-39.375</v>
      </c>
      <c r="O35" s="497">
        <f>-52.5*(273/365)</f>
        <v>-39.267123287671232</v>
      </c>
    </row>
    <row r="36" spans="2:21" s="33" customFormat="1" ht="24" customHeight="1" x14ac:dyDescent="0.2">
      <c r="B36" s="498" t="s">
        <v>337</v>
      </c>
      <c r="C36" s="499">
        <f>C33+C35</f>
        <v>30.312143073563668</v>
      </c>
      <c r="D36" s="499">
        <f t="shared" ref="D36:G36" si="11">D33+D35</f>
        <v>77.08065275915564</v>
      </c>
      <c r="E36" s="499">
        <f t="shared" si="11"/>
        <v>74.409868274844897</v>
      </c>
      <c r="F36" s="499">
        <f t="shared" si="11"/>
        <v>-19.873532092407022</v>
      </c>
      <c r="G36" s="499">
        <f t="shared" si="11"/>
        <v>121.37381375620009</v>
      </c>
      <c r="H36" s="499">
        <f t="shared" ref="H36" si="12">H33+H35</f>
        <v>66.74465685399997</v>
      </c>
      <c r="I36" s="499">
        <f t="shared" ref="I36" si="13">I33+I35</f>
        <v>103.73631578160003</v>
      </c>
      <c r="J36" s="499">
        <f>J33+J35</f>
        <v>186.35254999659998</v>
      </c>
      <c r="K36" s="499">
        <f>K33+K35</f>
        <v>190.56900000000002</v>
      </c>
      <c r="L36" s="499">
        <f t="shared" ref="L36:O36" si="14">L33+L35</f>
        <v>224.97771575750005</v>
      </c>
      <c r="M36" s="499">
        <f t="shared" si="14"/>
        <v>265.82024599999994</v>
      </c>
      <c r="N36" s="499">
        <f t="shared" si="14"/>
        <v>291.85478639180019</v>
      </c>
      <c r="O36" s="500">
        <f t="shared" si="14"/>
        <v>681.47483846982846</v>
      </c>
    </row>
    <row r="37" spans="2:21" s="33" customFormat="1" ht="24" customHeight="1" x14ac:dyDescent="0.2">
      <c r="B37" s="501" t="s">
        <v>215</v>
      </c>
      <c r="C37" s="502">
        <f>C36/(C52/1000000)</f>
        <v>2.4242592508811844E-2</v>
      </c>
      <c r="D37" s="502">
        <f>D36/(C52/1000000)</f>
        <v>6.1646411823093383E-2</v>
      </c>
      <c r="E37" s="502">
        <f>E36/(C52/1000000)</f>
        <v>5.951041174632974E-2</v>
      </c>
      <c r="F37" s="502">
        <f>F36/(C52/1000000)</f>
        <v>-1.5894156314114307E-2</v>
      </c>
      <c r="G37" s="502">
        <f>G36/(C52/1000000)</f>
        <v>9.707053377885938E-2</v>
      </c>
      <c r="H37" s="502">
        <f>H36/(C52/1000000)</f>
        <v>5.338004357940529E-2</v>
      </c>
      <c r="I37" s="502">
        <f>I36/(C52/1000000)</f>
        <v>8.2964679394510993E-2</v>
      </c>
      <c r="J37" s="502">
        <f>J36/(C52/1000000)</f>
        <v>0.14903825577695903</v>
      </c>
      <c r="K37" s="502">
        <f>K36/(C52/1000000)</f>
        <v>0.15241042510916814</v>
      </c>
      <c r="L37" s="502">
        <f>L36/(C52/1000000)</f>
        <v>0.17992931326023737</v>
      </c>
      <c r="M37" s="502">
        <f>M36/(C52/1000000)</f>
        <v>0.21259374135081591</v>
      </c>
      <c r="N37" s="502">
        <f>N36/(C52/1000000)</f>
        <v>0.23341525675277575</v>
      </c>
      <c r="O37" s="503">
        <f>O36/(C52/1000000)</f>
        <v>0.54501975574405193</v>
      </c>
    </row>
    <row r="38" spans="2:21" s="33" customFormat="1" ht="14.25" customHeight="1" x14ac:dyDescent="0.2">
      <c r="B38" s="488"/>
      <c r="C38" s="489"/>
      <c r="D38" s="489"/>
      <c r="E38" s="489"/>
      <c r="F38" s="489"/>
      <c r="G38" s="489"/>
      <c r="H38" s="489"/>
      <c r="I38" s="489"/>
      <c r="J38" s="489"/>
      <c r="K38" s="489"/>
      <c r="L38" s="489"/>
      <c r="M38" s="489"/>
      <c r="N38" s="489"/>
      <c r="O38" s="490"/>
    </row>
    <row r="39" spans="2:21" s="33" customFormat="1" ht="24" customHeight="1" x14ac:dyDescent="0.2">
      <c r="B39" s="478" t="s">
        <v>205</v>
      </c>
      <c r="C39" s="479">
        <f>C33</f>
        <v>30.312143073563668</v>
      </c>
      <c r="D39" s="479">
        <f t="shared" ref="D39:G39" si="15">D33</f>
        <v>79.094652759155636</v>
      </c>
      <c r="E39" s="479">
        <f t="shared" si="15"/>
        <v>87.534868274844897</v>
      </c>
      <c r="F39" s="479">
        <f t="shared" si="15"/>
        <v>-6.7485320924070216</v>
      </c>
      <c r="G39" s="479">
        <f t="shared" si="15"/>
        <v>134.49881375620009</v>
      </c>
      <c r="H39" s="479">
        <f t="shared" ref="H39" si="16">H33</f>
        <v>79.86965685399997</v>
      </c>
      <c r="I39" s="479">
        <f t="shared" ref="I39:J39" si="17">I33</f>
        <v>116.86131578160003</v>
      </c>
      <c r="J39" s="479">
        <f t="shared" si="17"/>
        <v>199.47754999659998</v>
      </c>
      <c r="K39" s="479">
        <f t="shared" ref="K39:O39" si="18">K33</f>
        <v>203.69400000000002</v>
      </c>
      <c r="L39" s="479">
        <f t="shared" si="18"/>
        <v>238.10271575750005</v>
      </c>
      <c r="M39" s="479">
        <f t="shared" si="18"/>
        <v>278.94524599999994</v>
      </c>
      <c r="N39" s="479">
        <f t="shared" si="18"/>
        <v>331.22978639180019</v>
      </c>
      <c r="O39" s="801">
        <f t="shared" si="18"/>
        <v>720.74196175749967</v>
      </c>
      <c r="R39" s="189"/>
      <c r="S39" s="189"/>
      <c r="T39" s="189"/>
      <c r="U39" s="189"/>
    </row>
    <row r="40" spans="2:21" s="33" customFormat="1" ht="24" customHeight="1" x14ac:dyDescent="0.2">
      <c r="B40" s="476" t="s">
        <v>461</v>
      </c>
      <c r="C40" s="465">
        <v>-829.04670999999996</v>
      </c>
      <c r="D40" s="465">
        <v>-2185</v>
      </c>
      <c r="E40" s="465">
        <v>-734</v>
      </c>
      <c r="F40" s="465">
        <v>-126</v>
      </c>
      <c r="G40" s="465">
        <v>-151.6</v>
      </c>
      <c r="H40" s="466">
        <v>-117.35</v>
      </c>
      <c r="I40" s="466">
        <v>-18.381</v>
      </c>
      <c r="J40" s="466">
        <v>-33.1</v>
      </c>
      <c r="K40" s="466">
        <v>-20.760999999999999</v>
      </c>
      <c r="L40" s="852">
        <v>-180.79911400999998</v>
      </c>
      <c r="M40" s="849">
        <v>0</v>
      </c>
      <c r="N40" s="466">
        <v>-287.33100000000002</v>
      </c>
      <c r="O40" s="484">
        <v>-201.56011400999998</v>
      </c>
      <c r="R40" s="189"/>
      <c r="S40" s="189"/>
      <c r="T40" s="189"/>
      <c r="U40" s="189"/>
    </row>
    <row r="41" spans="2:21" s="33" customFormat="1" ht="24" customHeight="1" x14ac:dyDescent="0.2">
      <c r="B41" s="476" t="s">
        <v>288</v>
      </c>
      <c r="C41" s="465">
        <v>0</v>
      </c>
      <c r="D41" s="465">
        <v>0</v>
      </c>
      <c r="E41" s="465">
        <v>0</v>
      </c>
      <c r="F41" s="466">
        <v>0</v>
      </c>
      <c r="G41" s="466">
        <v>281</v>
      </c>
      <c r="H41" s="466">
        <v>0</v>
      </c>
      <c r="I41" s="466">
        <v>0</v>
      </c>
      <c r="J41" s="466">
        <v>0</v>
      </c>
      <c r="K41" s="790">
        <v>0</v>
      </c>
      <c r="L41" s="853">
        <v>0</v>
      </c>
      <c r="M41" s="850">
        <v>0</v>
      </c>
      <c r="N41" s="790">
        <v>0</v>
      </c>
      <c r="O41" s="483">
        <v>0</v>
      </c>
      <c r="P41" s="250"/>
      <c r="R41" s="190"/>
      <c r="S41" s="189"/>
      <c r="T41" s="189"/>
      <c r="U41" s="189"/>
    </row>
    <row r="42" spans="2:21" s="33" customFormat="1" ht="24" customHeight="1" x14ac:dyDescent="0.2">
      <c r="B42" s="472" t="s">
        <v>429</v>
      </c>
      <c r="C42" s="480">
        <v>394.69031077</v>
      </c>
      <c r="D42" s="480">
        <v>100.54314154000001</v>
      </c>
      <c r="E42" s="480">
        <v>11.095469029999999</v>
      </c>
      <c r="F42" s="480">
        <v>195.45343817999998</v>
      </c>
      <c r="G42" s="480">
        <v>236.72271175</v>
      </c>
      <c r="H42" s="481">
        <v>108.6836529</v>
      </c>
      <c r="I42" s="481">
        <v>51.898115160000003</v>
      </c>
      <c r="J42" s="481">
        <v>-0.67009458999999993</v>
      </c>
      <c r="K42" s="481">
        <v>0</v>
      </c>
      <c r="L42" s="854">
        <v>0</v>
      </c>
      <c r="M42" s="793">
        <v>0</v>
      </c>
      <c r="N42" s="481">
        <v>678.30447980999998</v>
      </c>
      <c r="O42" s="482">
        <v>0</v>
      </c>
      <c r="R42" s="189"/>
      <c r="S42" s="189"/>
      <c r="T42" s="189"/>
      <c r="U42" s="189"/>
    </row>
    <row r="43" spans="2:21" s="33" customFormat="1" ht="24" customHeight="1" x14ac:dyDescent="0.2">
      <c r="B43" s="476" t="s">
        <v>462</v>
      </c>
      <c r="C43" s="465">
        <v>0</v>
      </c>
      <c r="D43" s="465">
        <v>-40</v>
      </c>
      <c r="E43" s="465">
        <v>0</v>
      </c>
      <c r="F43" s="465">
        <v>15.199000000000002</v>
      </c>
      <c r="G43" s="465">
        <v>-4.1472708799999998</v>
      </c>
      <c r="H43" s="466">
        <v>-6.6</v>
      </c>
      <c r="I43" s="466">
        <v>-19.877649999999999</v>
      </c>
      <c r="J43" s="466">
        <v>-30.314</v>
      </c>
      <c r="K43" s="466">
        <v>-3.1720000000000002</v>
      </c>
      <c r="L43" s="852">
        <v>-2.1745070000000002</v>
      </c>
      <c r="M43" s="849">
        <v>-1.5662459999999996</v>
      </c>
      <c r="N43" s="466">
        <v>-30.624920879999998</v>
      </c>
      <c r="O43" s="484">
        <v>-6.9127530000000004</v>
      </c>
      <c r="R43" s="803"/>
      <c r="S43" s="189"/>
      <c r="T43" s="189"/>
      <c r="U43" s="189"/>
    </row>
    <row r="44" spans="2:21" s="33" customFormat="1" ht="24" customHeight="1" x14ac:dyDescent="0.2">
      <c r="B44" s="633" t="s">
        <v>232</v>
      </c>
      <c r="C44" s="634">
        <v>0</v>
      </c>
      <c r="D44" s="634">
        <v>0</v>
      </c>
      <c r="E44" s="634">
        <v>0</v>
      </c>
      <c r="F44" s="634">
        <v>0</v>
      </c>
      <c r="G44" s="634">
        <v>0</v>
      </c>
      <c r="H44" s="635">
        <v>0</v>
      </c>
      <c r="I44" s="635">
        <v>0</v>
      </c>
      <c r="J44" s="635">
        <v>25.8</v>
      </c>
      <c r="K44" s="466">
        <v>0</v>
      </c>
      <c r="L44" s="466">
        <v>0</v>
      </c>
      <c r="M44" s="851">
        <v>0</v>
      </c>
      <c r="N44" s="466">
        <v>0</v>
      </c>
      <c r="O44" s="636">
        <v>0</v>
      </c>
      <c r="R44" s="189"/>
      <c r="S44" s="189"/>
      <c r="T44" s="189"/>
      <c r="U44" s="189"/>
    </row>
    <row r="45" spans="2:21" s="33" customFormat="1" ht="24" customHeight="1" x14ac:dyDescent="0.2">
      <c r="B45" s="633" t="s">
        <v>463</v>
      </c>
      <c r="C45" s="634">
        <v>0</v>
      </c>
      <c r="D45" s="634">
        <v>0</v>
      </c>
      <c r="E45" s="634">
        <v>0</v>
      </c>
      <c r="F45" s="634">
        <v>0</v>
      </c>
      <c r="G45" s="634">
        <v>24.788745373799998</v>
      </c>
      <c r="H45" s="635">
        <v>27.858690245999998</v>
      </c>
      <c r="I45" s="635">
        <v>-14.854780941599984</v>
      </c>
      <c r="J45" s="635">
        <v>8.3685445933999958</v>
      </c>
      <c r="K45" s="481">
        <v>0</v>
      </c>
      <c r="L45" s="481">
        <v>64.553905252500002</v>
      </c>
      <c r="M45" s="793">
        <v>0</v>
      </c>
      <c r="N45" s="481">
        <v>37.792654678200009</v>
      </c>
      <c r="O45" s="636">
        <v>64.553905252500016</v>
      </c>
      <c r="R45" s="189"/>
      <c r="S45" s="189"/>
      <c r="T45" s="189"/>
      <c r="U45" s="189"/>
    </row>
    <row r="46" spans="2:21" s="33" customFormat="1" ht="24" customHeight="1" x14ac:dyDescent="0.2">
      <c r="B46" s="491" t="s">
        <v>338</v>
      </c>
      <c r="C46" s="492">
        <f>SUM(C39:C45)</f>
        <v>-404.04425615643629</v>
      </c>
      <c r="D46" s="896">
        <f>SUM(D39:D45)</f>
        <v>-2045.3622057008445</v>
      </c>
      <c r="E46" s="492">
        <f t="shared" ref="E46:F46" si="19">SUM(E39:E45)</f>
        <v>-635.36966269515506</v>
      </c>
      <c r="F46" s="492">
        <f t="shared" si="19"/>
        <v>77.903906087592944</v>
      </c>
      <c r="G46" s="492">
        <f t="shared" ref="G46:O46" si="20">SUM(G39:G45)</f>
        <v>521.26300000000015</v>
      </c>
      <c r="H46" s="492">
        <f t="shared" si="20"/>
        <v>92.461999999999975</v>
      </c>
      <c r="I46" s="492">
        <f t="shared" si="20"/>
        <v>115.64600000000004</v>
      </c>
      <c r="J46" s="492">
        <f t="shared" si="20"/>
        <v>169.56200000000001</v>
      </c>
      <c r="K46" s="492">
        <f t="shared" si="20"/>
        <v>179.76100000000002</v>
      </c>
      <c r="L46" s="492">
        <f t="shared" si="20"/>
        <v>119.68300000000008</v>
      </c>
      <c r="M46" s="492">
        <f t="shared" si="20"/>
        <v>277.37899999999996</v>
      </c>
      <c r="N46" s="492">
        <f t="shared" si="20"/>
        <v>729.37100000000021</v>
      </c>
      <c r="O46" s="809">
        <f t="shared" si="20"/>
        <v>576.82299999999975</v>
      </c>
      <c r="R46" s="401"/>
      <c r="S46" s="189"/>
      <c r="T46" s="189"/>
      <c r="U46" s="189"/>
    </row>
    <row r="47" spans="2:21" s="33" customFormat="1" ht="13.5" customHeight="1" x14ac:dyDescent="0.2">
      <c r="B47" s="509"/>
      <c r="C47" s="510"/>
      <c r="D47" s="511"/>
      <c r="E47" s="510"/>
      <c r="F47" s="510"/>
      <c r="G47" s="510"/>
      <c r="H47" s="510"/>
      <c r="I47" s="510"/>
      <c r="J47" s="510"/>
      <c r="K47" s="791"/>
      <c r="L47" s="791"/>
      <c r="M47" s="791"/>
      <c r="N47" s="791"/>
      <c r="O47" s="512"/>
    </row>
    <row r="48" spans="2:21" s="33" customFormat="1" ht="24" customHeight="1" x14ac:dyDescent="0.2">
      <c r="B48" s="495" t="s">
        <v>335</v>
      </c>
      <c r="C48" s="496">
        <v>0</v>
      </c>
      <c r="D48" s="504">
        <v>-2.0139999999999998</v>
      </c>
      <c r="E48" s="496">
        <v>-13.125</v>
      </c>
      <c r="F48" s="496">
        <v>-13.125</v>
      </c>
      <c r="G48" s="496">
        <v>-13.125</v>
      </c>
      <c r="H48" s="496">
        <v>-13.125</v>
      </c>
      <c r="I48" s="496">
        <v>-13.125</v>
      </c>
      <c r="J48" s="496">
        <v>-13.125</v>
      </c>
      <c r="K48" s="496">
        <v>-13.125</v>
      </c>
      <c r="L48" s="496">
        <v>-13.125</v>
      </c>
      <c r="M48" s="496">
        <v>-13.125</v>
      </c>
      <c r="N48" s="496">
        <f>-13.125*3</f>
        <v>-39.375</v>
      </c>
      <c r="O48" s="497">
        <f>-13.125*3</f>
        <v>-39.375</v>
      </c>
    </row>
    <row r="49" spans="2:15" s="33" customFormat="1" ht="24" customHeight="1" x14ac:dyDescent="0.2">
      <c r="B49" s="498" t="s">
        <v>339</v>
      </c>
      <c r="C49" s="499">
        <f>C46+C48</f>
        <v>-404.04425615643629</v>
      </c>
      <c r="D49" s="505">
        <f>D46+D48</f>
        <v>-2047.3762057008444</v>
      </c>
      <c r="E49" s="499">
        <f t="shared" ref="E49:G49" si="21">E46+E48</f>
        <v>-648.49466269515506</v>
      </c>
      <c r="F49" s="499">
        <f t="shared" si="21"/>
        <v>64.778906087592944</v>
      </c>
      <c r="G49" s="499">
        <f t="shared" si="21"/>
        <v>508.13800000000015</v>
      </c>
      <c r="H49" s="499">
        <f t="shared" ref="H49" si="22">H46+H48</f>
        <v>79.336999999999975</v>
      </c>
      <c r="I49" s="499">
        <f t="shared" ref="I49" si="23">I46+I48</f>
        <v>102.52100000000004</v>
      </c>
      <c r="J49" s="499">
        <f>J46+J48</f>
        <v>156.43700000000001</v>
      </c>
      <c r="K49" s="499">
        <f>K46+K48</f>
        <v>166.63600000000002</v>
      </c>
      <c r="L49" s="499">
        <f t="shared" ref="L49:N49" si="24">L46+L48</f>
        <v>106.55800000000008</v>
      </c>
      <c r="M49" s="499">
        <f t="shared" si="24"/>
        <v>264.25399999999996</v>
      </c>
      <c r="N49" s="499">
        <f t="shared" si="24"/>
        <v>689.99600000000021</v>
      </c>
      <c r="O49" s="500">
        <f>O46+O48</f>
        <v>537.44799999999975</v>
      </c>
    </row>
    <row r="50" spans="2:15" s="33" customFormat="1" ht="24" customHeight="1" x14ac:dyDescent="0.2">
      <c r="B50" s="506" t="s">
        <v>216</v>
      </c>
      <c r="C50" s="507">
        <f>C49/(C52/1000000)</f>
        <v>-0.32314047323394712</v>
      </c>
      <c r="D50" s="507">
        <f>D49/(C52/1000000)</f>
        <v>-1.6374199259547004</v>
      </c>
      <c r="E50" s="507">
        <f>E49/(C52/1000000)</f>
        <v>-0.51864336393849564</v>
      </c>
      <c r="F50" s="507">
        <f>F49/(C52/1000000)</f>
        <v>5.1807904826687019E-2</v>
      </c>
      <c r="G50" s="507">
        <f>G49/(C52/1000000)</f>
        <v>0.40639101109898507</v>
      </c>
      <c r="H50" s="507">
        <f>H49/(C52/1000000)</f>
        <v>6.3450959478645874E-2</v>
      </c>
      <c r="I50" s="507">
        <f>I49/(C52/1000000)</f>
        <v>8.1992712312165303E-2</v>
      </c>
      <c r="J50" s="507">
        <f>J49/(C52/1000000)</f>
        <v>0.12511284454870905</v>
      </c>
      <c r="K50" s="507">
        <f>K49/(C52/1000000)</f>
        <v>0.13326964825596682</v>
      </c>
      <c r="L50" s="507">
        <f>L49/(C52/1000000)</f>
        <v>8.5221363804095882E-2</v>
      </c>
      <c r="M50" s="507">
        <f>M49/(C52/1000000)</f>
        <v>0.21134111254610197</v>
      </c>
      <c r="N50" s="507">
        <f>N49/(C52/1000000)</f>
        <v>0.55183468288979631</v>
      </c>
      <c r="O50" s="508">
        <f>O49/(C52/1000000)</f>
        <v>0.42983212460616443</v>
      </c>
    </row>
    <row r="51" spans="2:15" s="33" customFormat="1" ht="15.75" customHeight="1" x14ac:dyDescent="0.2">
      <c r="B51" s="493"/>
      <c r="C51" s="494"/>
      <c r="D51" s="494"/>
      <c r="E51" s="494"/>
      <c r="F51" s="494"/>
      <c r="G51" s="494"/>
      <c r="H51" s="494"/>
      <c r="I51" s="494"/>
      <c r="J51" s="494"/>
      <c r="K51" s="494"/>
      <c r="L51" s="494"/>
      <c r="M51" s="494"/>
      <c r="N51" s="494"/>
      <c r="O51" s="494"/>
    </row>
    <row r="52" spans="2:15" s="33" customFormat="1" ht="24" customHeight="1" x14ac:dyDescent="0.2">
      <c r="B52" s="513" t="s">
        <v>340</v>
      </c>
      <c r="C52" s="939">
        <v>1250367223</v>
      </c>
      <c r="D52" s="939"/>
      <c r="E52" s="939"/>
      <c r="F52" s="939"/>
      <c r="G52" s="939"/>
      <c r="H52" s="939"/>
      <c r="I52" s="939"/>
      <c r="J52" s="939"/>
      <c r="K52" s="939"/>
      <c r="L52" s="939"/>
      <c r="M52" s="939"/>
      <c r="N52" s="939"/>
      <c r="O52" s="939"/>
    </row>
    <row r="53" spans="2:15" s="33" customFormat="1" ht="24" customHeight="1" x14ac:dyDescent="0.2">
      <c r="B53" s="514" t="s">
        <v>222</v>
      </c>
      <c r="C53" s="474"/>
      <c r="D53" s="474"/>
      <c r="E53" s="474"/>
      <c r="F53" s="474"/>
      <c r="G53" s="474"/>
      <c r="H53" s="474"/>
      <c r="I53" s="474"/>
      <c r="J53" s="474"/>
      <c r="K53" s="474"/>
      <c r="L53" s="474"/>
      <c r="M53" s="474"/>
      <c r="N53" s="474"/>
      <c r="O53" s="474"/>
    </row>
    <row r="54" spans="2:15" s="33" customFormat="1" ht="12.75" customHeight="1" x14ac:dyDescent="0.2">
      <c r="B54" s="628"/>
      <c r="C54" s="474"/>
      <c r="D54" s="474"/>
      <c r="E54" s="474"/>
      <c r="F54" s="474"/>
      <c r="G54" s="474"/>
      <c r="H54" s="474"/>
      <c r="I54" s="474"/>
      <c r="J54" s="474"/>
      <c r="K54" s="474"/>
      <c r="L54" s="474"/>
      <c r="M54" s="474"/>
      <c r="N54" s="474"/>
      <c r="O54" s="474"/>
    </row>
    <row r="55" spans="2:15" s="33" customFormat="1" ht="27.75" customHeight="1" x14ac:dyDescent="0.2">
      <c r="B55" s="940" t="s">
        <v>267</v>
      </c>
      <c r="C55" s="940"/>
      <c r="D55" s="940"/>
      <c r="E55" s="940"/>
      <c r="F55" s="940"/>
      <c r="G55" s="940"/>
      <c r="H55" s="940"/>
      <c r="I55" s="940"/>
      <c r="J55" s="940"/>
      <c r="K55" s="940"/>
      <c r="L55" s="940"/>
      <c r="M55" s="940"/>
      <c r="N55" s="940"/>
      <c r="O55" s="940"/>
    </row>
    <row r="56" spans="2:15" s="33" customFormat="1" ht="27.75" customHeight="1" x14ac:dyDescent="0.2">
      <c r="B56" s="924" t="s">
        <v>464</v>
      </c>
      <c r="C56" s="925"/>
      <c r="D56" s="925"/>
      <c r="E56" s="925"/>
      <c r="F56" s="925"/>
      <c r="G56" s="925"/>
      <c r="H56" s="925"/>
      <c r="I56" s="925"/>
      <c r="J56" s="925"/>
      <c r="K56" s="925"/>
      <c r="L56" s="925"/>
      <c r="M56" s="925"/>
      <c r="N56" s="925"/>
      <c r="O56" s="925"/>
    </row>
    <row r="57" spans="2:15" ht="21.75" customHeight="1" x14ac:dyDescent="0.2">
      <c r="B57" s="924" t="s">
        <v>478</v>
      </c>
      <c r="C57" s="926"/>
      <c r="D57" s="926"/>
      <c r="E57" s="926"/>
      <c r="F57" s="926"/>
      <c r="G57" s="926"/>
      <c r="H57" s="926"/>
      <c r="I57" s="926"/>
      <c r="J57" s="926"/>
      <c r="K57" s="926"/>
      <c r="L57" s="926"/>
      <c r="M57" s="926"/>
      <c r="N57" s="926"/>
      <c r="O57" s="927"/>
    </row>
    <row r="58" spans="2:15" ht="21.75" customHeight="1" x14ac:dyDescent="0.2">
      <c r="B58" s="924" t="s">
        <v>465</v>
      </c>
      <c r="C58" s="676"/>
      <c r="D58" s="676"/>
      <c r="E58" s="676"/>
      <c r="F58" s="676"/>
      <c r="G58" s="676"/>
      <c r="H58" s="676"/>
      <c r="I58" s="676"/>
      <c r="J58" s="676"/>
      <c r="K58" s="676"/>
      <c r="L58" s="676"/>
      <c r="M58" s="676"/>
      <c r="N58" s="676"/>
      <c r="O58" s="676"/>
    </row>
    <row r="59" spans="2:15" s="33" customFormat="1" ht="21.75" customHeight="1" x14ac:dyDescent="0.2">
      <c r="B59" s="924" t="s">
        <v>466</v>
      </c>
      <c r="C59" s="925"/>
      <c r="D59" s="925"/>
      <c r="E59" s="925"/>
      <c r="F59" s="925"/>
      <c r="G59" s="925"/>
      <c r="H59" s="925"/>
      <c r="I59" s="925"/>
      <c r="J59" s="925"/>
      <c r="K59" s="925"/>
      <c r="L59" s="925"/>
      <c r="M59" s="925"/>
      <c r="N59" s="925"/>
      <c r="O59" s="925"/>
    </row>
    <row r="60" spans="2:15" s="33" customFormat="1" ht="21.75" customHeight="1" x14ac:dyDescent="0.2">
      <c r="B60" s="628" t="s">
        <v>467</v>
      </c>
      <c r="C60" s="917"/>
      <c r="D60" s="917"/>
      <c r="E60" s="917"/>
      <c r="F60" s="917"/>
      <c r="G60" s="917"/>
      <c r="H60" s="917"/>
      <c r="I60" s="917"/>
      <c r="J60" s="917"/>
      <c r="K60" s="917"/>
      <c r="L60" s="917"/>
      <c r="M60" s="917"/>
      <c r="N60" s="917"/>
      <c r="O60" s="917"/>
    </row>
    <row r="61" spans="2:15" s="33" customFormat="1" ht="21.75" customHeight="1" x14ac:dyDescent="0.2">
      <c r="B61" s="628" t="s">
        <v>468</v>
      </c>
      <c r="C61" s="474"/>
      <c r="D61" s="474"/>
      <c r="E61" s="474"/>
      <c r="F61" s="474"/>
      <c r="G61" s="474"/>
      <c r="H61" s="474"/>
      <c r="I61" s="474"/>
      <c r="J61" s="474"/>
      <c r="K61" s="474"/>
      <c r="L61" s="474"/>
      <c r="M61" s="474"/>
      <c r="N61" s="474"/>
      <c r="O61" s="474"/>
    </row>
    <row r="64" spans="2:15" ht="18.75" x14ac:dyDescent="0.2">
      <c r="C64" s="632"/>
      <c r="D64" s="632"/>
      <c r="E64" s="632"/>
      <c r="F64" s="632"/>
      <c r="G64" s="632"/>
      <c r="H64" s="632"/>
      <c r="I64" s="632"/>
      <c r="J64" s="632"/>
      <c r="K64" s="632"/>
      <c r="L64" s="632"/>
      <c r="M64" s="632"/>
      <c r="N64" s="632"/>
    </row>
  </sheetData>
  <mergeCells count="3">
    <mergeCell ref="B5:O5"/>
    <mergeCell ref="C52:O52"/>
    <mergeCell ref="B55:O55"/>
  </mergeCells>
  <phoneticPr fontId="24" type="noConversion"/>
  <hyperlinks>
    <hyperlink ref="O2" location="'Cover '!A1" display="Back to Cover" xr:uid="{C0DCBB4C-658A-4E07-B353-E5AD054E47B3}"/>
  </hyperlinks>
  <printOptions horizontalCentered="1" verticalCentered="1"/>
  <pageMargins left="0" right="0" top="0" bottom="0" header="0" footer="0"/>
  <pageSetup paperSize="8" scale="6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56"/>
  <sheetViews>
    <sheetView showGridLines="0" view="pageBreakPreview" zoomScale="80" zoomScaleNormal="90" zoomScaleSheetLayoutView="80" workbookViewId="0">
      <pane xSplit="2" ySplit="9" topLeftCell="F14" activePane="bottomRight" state="frozen"/>
      <selection activeCell="M28" sqref="M28"/>
      <selection pane="topRight" activeCell="M28" sqref="M28"/>
      <selection pane="bottomLeft" activeCell="M28" sqref="M28"/>
      <selection pane="bottomRight" activeCell="V9" sqref="V9"/>
    </sheetView>
  </sheetViews>
  <sheetFormatPr defaultColWidth="9.140625" defaultRowHeight="15.75" x14ac:dyDescent="0.2"/>
  <cols>
    <col min="1" max="1" width="2.42578125" style="31" customWidth="1"/>
    <col min="2" max="2" width="81.42578125" style="31" customWidth="1"/>
    <col min="3" max="5" width="16.140625" style="31" hidden="1" customWidth="1"/>
    <col min="6" max="16" width="16.140625" style="31" customWidth="1"/>
    <col min="17" max="17" width="4" style="187" customWidth="1"/>
    <col min="18" max="18" width="11" style="31" customWidth="1"/>
    <col min="19" max="19" width="2.42578125" style="31" customWidth="1"/>
    <col min="20" max="20" width="11.28515625" style="31" bestFit="1" customWidth="1"/>
    <col min="21" max="21" width="17.85546875" style="31" bestFit="1" customWidth="1"/>
    <col min="22" max="22" width="11.5703125" style="31" bestFit="1" customWidth="1"/>
    <col min="23" max="23" width="13.140625" style="31" customWidth="1"/>
    <col min="24" max="16384" width="9.140625" style="31"/>
  </cols>
  <sheetData>
    <row r="1" spans="1:25" ht="15.75" customHeight="1" x14ac:dyDescent="0.2"/>
    <row r="2" spans="1:25" ht="15.75" customHeight="1" x14ac:dyDescent="0.2">
      <c r="R2" s="32" t="s">
        <v>21</v>
      </c>
    </row>
    <row r="3" spans="1:25" ht="15.75" customHeight="1" x14ac:dyDescent="0.2">
      <c r="B3" s="39"/>
    </row>
    <row r="4" spans="1:25" ht="15.75" customHeight="1" x14ac:dyDescent="0.2"/>
    <row r="5" spans="1:25" s="75" customFormat="1" ht="26.25" x14ac:dyDescent="0.2">
      <c r="A5" s="74"/>
      <c r="B5" s="938" t="s">
        <v>5</v>
      </c>
      <c r="C5" s="938"/>
      <c r="D5" s="938"/>
      <c r="E5" s="938"/>
      <c r="F5" s="938"/>
      <c r="G5" s="938"/>
      <c r="H5" s="938"/>
      <c r="I5" s="938"/>
      <c r="J5" s="938"/>
      <c r="K5" s="938"/>
      <c r="L5" s="938"/>
      <c r="M5" s="938"/>
      <c r="N5" s="938"/>
      <c r="O5" s="938"/>
      <c r="P5" s="938"/>
      <c r="Q5" s="938"/>
      <c r="R5" s="938"/>
      <c r="U5" s="722"/>
      <c r="V5" s="722"/>
      <c r="W5" s="722"/>
      <c r="Y5" s="723"/>
    </row>
    <row r="6" spans="1:25" s="77" customFormat="1" ht="9" customHeight="1" x14ac:dyDescent="0.2">
      <c r="A6" s="74"/>
      <c r="B6" s="76"/>
      <c r="C6" s="76"/>
      <c r="D6" s="76"/>
      <c r="E6" s="76"/>
      <c r="F6" s="76"/>
      <c r="G6" s="76"/>
      <c r="H6" s="76"/>
      <c r="I6" s="76"/>
      <c r="J6" s="76"/>
      <c r="K6" s="76"/>
      <c r="L6" s="76"/>
      <c r="M6" s="76"/>
      <c r="N6" s="76"/>
      <c r="O6" s="76"/>
      <c r="P6" s="76"/>
      <c r="Q6" s="76"/>
    </row>
    <row r="7" spans="1:25" s="77" customFormat="1" ht="15.75" customHeight="1" x14ac:dyDescent="0.2">
      <c r="A7" s="78"/>
      <c r="B7" s="31"/>
      <c r="C7" s="129"/>
      <c r="D7" s="130"/>
      <c r="E7" s="186"/>
      <c r="F7" s="207"/>
      <c r="G7" s="210"/>
      <c r="H7" s="211"/>
      <c r="I7" s="223"/>
      <c r="J7" s="223"/>
      <c r="K7" s="223"/>
      <c r="L7" s="223"/>
      <c r="M7" s="223"/>
      <c r="N7" s="223"/>
      <c r="O7" s="223"/>
      <c r="P7" s="203"/>
      <c r="Q7" s="188"/>
      <c r="R7" s="66"/>
      <c r="U7" s="724"/>
      <c r="V7" s="724"/>
      <c r="W7" s="724"/>
      <c r="Y7" s="725"/>
    </row>
    <row r="8" spans="1:25" ht="16.5" customHeight="1" x14ac:dyDescent="0.2"/>
    <row r="9" spans="1:25" s="17" customFormat="1" ht="33" customHeight="1" x14ac:dyDescent="0.2">
      <c r="B9" s="29" t="s">
        <v>0</v>
      </c>
      <c r="C9" s="117"/>
      <c r="D9" s="117"/>
      <c r="E9" s="117"/>
      <c r="F9" s="117">
        <v>44286</v>
      </c>
      <c r="G9" s="117">
        <v>44377</v>
      </c>
      <c r="H9" s="117">
        <v>44469</v>
      </c>
      <c r="I9" s="365">
        <v>44561</v>
      </c>
      <c r="J9" s="365">
        <v>44651</v>
      </c>
      <c r="K9" s="365">
        <v>44742</v>
      </c>
      <c r="L9" s="365">
        <v>44834</v>
      </c>
      <c r="M9" s="365">
        <v>44926</v>
      </c>
      <c r="N9" s="365">
        <v>45016</v>
      </c>
      <c r="O9" s="330">
        <v>45107</v>
      </c>
      <c r="P9" s="367">
        <v>45199</v>
      </c>
      <c r="Q9" s="187"/>
      <c r="R9" s="204" t="s">
        <v>37</v>
      </c>
    </row>
    <row r="10" spans="1:25" s="17" customFormat="1" ht="19.5" customHeight="1" x14ac:dyDescent="0.25">
      <c r="B10" s="50" t="s">
        <v>6</v>
      </c>
      <c r="C10" s="58"/>
      <c r="D10" s="58"/>
      <c r="E10" s="58"/>
      <c r="F10" s="58"/>
      <c r="G10" s="58"/>
      <c r="H10" s="58"/>
      <c r="I10" s="62"/>
      <c r="J10" s="62"/>
      <c r="K10" s="62"/>
      <c r="L10" s="62"/>
      <c r="M10" s="62"/>
      <c r="N10" s="62"/>
      <c r="O10" s="212"/>
      <c r="P10" s="692"/>
      <c r="Q10" s="187"/>
      <c r="R10" s="28"/>
    </row>
    <row r="11" spans="1:25" s="33" customFormat="1" ht="19.5" customHeight="1" x14ac:dyDescent="0.25">
      <c r="B11" s="45" t="s">
        <v>27</v>
      </c>
      <c r="C11" s="58"/>
      <c r="D11" s="58"/>
      <c r="E11" s="62"/>
      <c r="F11" s="58">
        <v>10179.561</v>
      </c>
      <c r="G11" s="58">
        <v>12525.597</v>
      </c>
      <c r="H11" s="62">
        <v>13294.813</v>
      </c>
      <c r="I11" s="62">
        <v>15519.423000000001</v>
      </c>
      <c r="J11" s="62">
        <v>17962.309000000001</v>
      </c>
      <c r="K11" s="62">
        <v>17900.582999999999</v>
      </c>
      <c r="L11" s="62">
        <v>18296.858</v>
      </c>
      <c r="M11" s="62">
        <v>9653.3209999999999</v>
      </c>
      <c r="N11" s="62">
        <v>9575.5249999999996</v>
      </c>
      <c r="O11" s="212">
        <v>10606.468999999999</v>
      </c>
      <c r="P11" s="692">
        <v>12687.053</v>
      </c>
      <c r="Q11" s="189"/>
      <c r="R11" s="41">
        <f>P11/O11-1</f>
        <v>0.1961617952213881</v>
      </c>
      <c r="S11" s="399"/>
      <c r="T11" s="829"/>
      <c r="U11" s="249"/>
    </row>
    <row r="12" spans="1:25" s="33" customFormat="1" ht="19.5" customHeight="1" x14ac:dyDescent="0.25">
      <c r="B12" s="45" t="s">
        <v>28</v>
      </c>
      <c r="C12" s="58"/>
      <c r="D12" s="58"/>
      <c r="E12" s="62"/>
      <c r="F12" s="58">
        <v>1396.6559999999999</v>
      </c>
      <c r="G12" s="58">
        <v>1367.58</v>
      </c>
      <c r="H12" s="62">
        <v>1360.682</v>
      </c>
      <c r="I12" s="62">
        <v>1344.002</v>
      </c>
      <c r="J12" s="62">
        <v>713.46199999999999</v>
      </c>
      <c r="K12" s="62">
        <v>764.02</v>
      </c>
      <c r="L12" s="62">
        <v>791.03899999999999</v>
      </c>
      <c r="M12" s="62">
        <v>750.274</v>
      </c>
      <c r="N12" s="62">
        <v>952.57899999999995</v>
      </c>
      <c r="O12" s="212">
        <v>725.86500000000001</v>
      </c>
      <c r="P12" s="692">
        <v>737.42499999999995</v>
      </c>
      <c r="Q12" s="189"/>
      <c r="R12" s="41">
        <f t="shared" ref="R12:R22" si="0">P12/O12-1</f>
        <v>1.5925826427779288E-2</v>
      </c>
      <c r="S12" s="249"/>
      <c r="T12" s="829"/>
      <c r="U12" s="249"/>
      <c r="W12" s="605"/>
      <c r="X12" s="250"/>
    </row>
    <row r="13" spans="1:25" s="33" customFormat="1" ht="19.5" customHeight="1" x14ac:dyDescent="0.25">
      <c r="B13" s="46" t="s">
        <v>178</v>
      </c>
      <c r="C13" s="58"/>
      <c r="D13" s="58"/>
      <c r="E13" s="62"/>
      <c r="F13" s="58">
        <v>47883.53</v>
      </c>
      <c r="G13" s="58">
        <v>36639.326000000001</v>
      </c>
      <c r="H13" s="62">
        <v>35705.123</v>
      </c>
      <c r="I13" s="62">
        <v>38491.879999999997</v>
      </c>
      <c r="J13" s="62">
        <v>37066.123</v>
      </c>
      <c r="K13" s="62">
        <v>36923.947999999997</v>
      </c>
      <c r="L13" s="62">
        <v>37634.457999999999</v>
      </c>
      <c r="M13" s="62">
        <v>38787.358</v>
      </c>
      <c r="N13" s="62">
        <v>36761.303</v>
      </c>
      <c r="O13" s="212">
        <v>36924.800999999999</v>
      </c>
      <c r="P13" s="692">
        <v>37235.016000000003</v>
      </c>
      <c r="Q13" s="189"/>
      <c r="R13" s="41">
        <f t="shared" si="0"/>
        <v>8.4012639634809538E-3</v>
      </c>
      <c r="S13" s="517"/>
      <c r="T13" s="829"/>
      <c r="U13" s="603"/>
      <c r="W13" s="249"/>
    </row>
    <row r="14" spans="1:25" s="33" customFormat="1" ht="19.5" customHeight="1" x14ac:dyDescent="0.25">
      <c r="B14" s="46" t="s">
        <v>341</v>
      </c>
      <c r="C14" s="58"/>
      <c r="D14" s="58"/>
      <c r="E14" s="62"/>
      <c r="F14" s="58">
        <v>10452.816999999999</v>
      </c>
      <c r="G14" s="58">
        <v>3489.1179999999999</v>
      </c>
      <c r="H14" s="62">
        <v>2306.634</v>
      </c>
      <c r="I14" s="62">
        <v>1970.607</v>
      </c>
      <c r="J14" s="62">
        <v>2066.942</v>
      </c>
      <c r="K14" s="62">
        <v>1554.865</v>
      </c>
      <c r="L14" s="62">
        <v>1619.0719999999999</v>
      </c>
      <c r="M14" s="62">
        <v>1420.854</v>
      </c>
      <c r="N14" s="62">
        <v>1348.92</v>
      </c>
      <c r="O14" s="212">
        <v>1152.9960000000001</v>
      </c>
      <c r="P14" s="692">
        <v>1160.7080000000001</v>
      </c>
      <c r="Q14" s="189"/>
      <c r="R14" s="41">
        <f t="shared" si="0"/>
        <v>6.6886615391554827E-3</v>
      </c>
      <c r="S14" s="249"/>
      <c r="T14" s="829"/>
      <c r="U14" s="804"/>
    </row>
    <row r="15" spans="1:25" s="33" customFormat="1" ht="19.5" customHeight="1" x14ac:dyDescent="0.25">
      <c r="B15" s="46" t="s">
        <v>342</v>
      </c>
      <c r="C15" s="58"/>
      <c r="D15" s="58"/>
      <c r="E15" s="62"/>
      <c r="F15" s="58">
        <v>37430.713000000003</v>
      </c>
      <c r="G15" s="58">
        <v>33150.207999999999</v>
      </c>
      <c r="H15" s="62">
        <v>33398.489000000001</v>
      </c>
      <c r="I15" s="62">
        <v>36521.273000000001</v>
      </c>
      <c r="J15" s="62">
        <v>34999.180999999997</v>
      </c>
      <c r="K15" s="62">
        <v>35369.082999999999</v>
      </c>
      <c r="L15" s="62">
        <v>36015.385999999999</v>
      </c>
      <c r="M15" s="62">
        <v>37366.504000000001</v>
      </c>
      <c r="N15" s="62">
        <v>35412.383000000002</v>
      </c>
      <c r="O15" s="212">
        <v>35771.805</v>
      </c>
      <c r="P15" s="692">
        <v>36074.308000000005</v>
      </c>
      <c r="Q15" s="189"/>
      <c r="R15" s="41">
        <f t="shared" si="0"/>
        <v>8.4564645256230975E-3</v>
      </c>
      <c r="S15" s="399"/>
      <c r="T15" s="830"/>
      <c r="U15" s="2"/>
      <c r="V15" s="250"/>
    </row>
    <row r="16" spans="1:25" s="33" customFormat="1" ht="19.5" customHeight="1" x14ac:dyDescent="0.25">
      <c r="B16" s="46" t="s">
        <v>268</v>
      </c>
      <c r="C16" s="58"/>
      <c r="D16" s="58"/>
      <c r="E16" s="58"/>
      <c r="F16" s="58">
        <v>10317.455000000002</v>
      </c>
      <c r="G16" s="58">
        <v>12762.772999999997</v>
      </c>
      <c r="H16" s="58">
        <v>13280.59</v>
      </c>
      <c r="I16" s="58">
        <v>13268.543</v>
      </c>
      <c r="J16" s="62">
        <v>12726.203000000001</v>
      </c>
      <c r="K16" s="62">
        <v>14168.24</v>
      </c>
      <c r="L16" s="62">
        <v>13902.302</v>
      </c>
      <c r="M16" s="62">
        <v>14301.594000000001</v>
      </c>
      <c r="N16" s="62">
        <v>15124.817000000001</v>
      </c>
      <c r="O16" s="212">
        <v>16006.099</v>
      </c>
      <c r="P16" s="692">
        <v>16048.777</v>
      </c>
      <c r="Q16" s="189"/>
      <c r="R16" s="41">
        <f t="shared" si="0"/>
        <v>2.6663586174244802E-3</v>
      </c>
      <c r="S16" s="249"/>
      <c r="T16" s="829"/>
      <c r="U16" s="602"/>
      <c r="V16" s="250"/>
      <c r="W16" s="250"/>
    </row>
    <row r="17" spans="2:29" s="33" customFormat="1" ht="19.5" customHeight="1" x14ac:dyDescent="0.25">
      <c r="B17" s="45" t="s">
        <v>179</v>
      </c>
      <c r="C17" s="58"/>
      <c r="D17" s="58"/>
      <c r="E17" s="58"/>
      <c r="F17" s="58">
        <v>263.49200000000002</v>
      </c>
      <c r="G17" s="58">
        <v>235.41</v>
      </c>
      <c r="H17" s="62">
        <v>244.58699999999999</v>
      </c>
      <c r="I17" s="62">
        <v>629.697</v>
      </c>
      <c r="J17" s="62">
        <v>540.50900000000001</v>
      </c>
      <c r="K17" s="62">
        <v>534.07399999999996</v>
      </c>
      <c r="L17" s="62">
        <v>669.65599999999995</v>
      </c>
      <c r="M17" s="62">
        <v>1023.0170000000001</v>
      </c>
      <c r="N17" s="62">
        <v>1039.75</v>
      </c>
      <c r="O17" s="212">
        <v>1077.6510000000001</v>
      </c>
      <c r="P17" s="692">
        <v>1207.057</v>
      </c>
      <c r="Q17" s="189"/>
      <c r="R17" s="41">
        <f t="shared" si="0"/>
        <v>0.12008154773669766</v>
      </c>
      <c r="S17" s="249"/>
      <c r="T17" s="829"/>
      <c r="U17" s="250"/>
      <c r="V17" s="719"/>
      <c r="W17" s="250"/>
      <c r="Y17" s="249"/>
    </row>
    <row r="18" spans="2:29" s="33" customFormat="1" ht="19.5" customHeight="1" x14ac:dyDescent="0.25">
      <c r="B18" s="45" t="s">
        <v>180</v>
      </c>
      <c r="C18" s="58"/>
      <c r="D18" s="58"/>
      <c r="E18" s="62"/>
      <c r="F18" s="58">
        <v>37.991</v>
      </c>
      <c r="G18" s="58">
        <v>37.988</v>
      </c>
      <c r="H18" s="62">
        <v>37.984999999999999</v>
      </c>
      <c r="I18" s="62">
        <v>9.3989999999999991</v>
      </c>
      <c r="J18" s="62">
        <v>12.702999999999999</v>
      </c>
      <c r="K18" s="62">
        <v>12.701000000000001</v>
      </c>
      <c r="L18" s="62">
        <v>26.506</v>
      </c>
      <c r="M18" s="62">
        <v>26.884</v>
      </c>
      <c r="N18" s="62">
        <v>26.978999999999999</v>
      </c>
      <c r="O18" s="212">
        <v>26.934000000000001</v>
      </c>
      <c r="P18" s="692">
        <v>26.834</v>
      </c>
      <c r="Q18" s="189"/>
      <c r="R18" s="41">
        <f t="shared" si="0"/>
        <v>-3.7127793866489345E-3</v>
      </c>
      <c r="S18" s="249"/>
      <c r="T18" s="829"/>
      <c r="U18" s="250"/>
      <c r="V18" s="250"/>
      <c r="W18" s="249"/>
      <c r="Y18" s="249"/>
    </row>
    <row r="19" spans="2:29" s="33" customFormat="1" ht="19.5" customHeight="1" x14ac:dyDescent="0.25">
      <c r="B19" s="45" t="s">
        <v>181</v>
      </c>
      <c r="C19" s="58"/>
      <c r="D19" s="58"/>
      <c r="E19" s="62"/>
      <c r="F19" s="58">
        <v>231.934</v>
      </c>
      <c r="G19" s="58">
        <v>242.791</v>
      </c>
      <c r="H19" s="62">
        <v>243.82299999999998</v>
      </c>
      <c r="I19" s="62">
        <v>257.584</v>
      </c>
      <c r="J19" s="62">
        <v>252.41399999999999</v>
      </c>
      <c r="K19" s="62">
        <v>270.46300000000002</v>
      </c>
      <c r="L19" s="62">
        <v>272.971</v>
      </c>
      <c r="M19" s="62">
        <v>285.13200000000001</v>
      </c>
      <c r="N19" s="62">
        <v>286.298</v>
      </c>
      <c r="O19" s="212">
        <v>303.16800000000001</v>
      </c>
      <c r="P19" s="692">
        <v>305.41800000000001</v>
      </c>
      <c r="Q19" s="189"/>
      <c r="R19" s="41">
        <f t="shared" si="0"/>
        <v>7.4216276124128289E-3</v>
      </c>
      <c r="S19" s="249"/>
      <c r="T19" s="829"/>
      <c r="V19" s="250"/>
      <c r="W19" s="250"/>
      <c r="X19" s="250"/>
      <c r="Z19" s="249"/>
    </row>
    <row r="20" spans="2:29" s="33" customFormat="1" ht="19.5" customHeight="1" x14ac:dyDescent="0.25">
      <c r="B20" s="45" t="s">
        <v>182</v>
      </c>
      <c r="C20" s="58"/>
      <c r="D20" s="58"/>
      <c r="E20" s="62"/>
      <c r="F20" s="58">
        <v>2106.154</v>
      </c>
      <c r="G20" s="58">
        <v>2099.7530000000002</v>
      </c>
      <c r="H20" s="62">
        <v>2086.39</v>
      </c>
      <c r="I20" s="62">
        <v>1930.115</v>
      </c>
      <c r="J20" s="62">
        <v>2234.3519999999999</v>
      </c>
      <c r="K20" s="62">
        <v>2302.94873951</v>
      </c>
      <c r="L20" s="62">
        <v>2314.174</v>
      </c>
      <c r="M20" s="62">
        <v>2249.8490000000002</v>
      </c>
      <c r="N20" s="62">
        <v>2279.1350000000002</v>
      </c>
      <c r="O20" s="212">
        <v>2500.1993455800002</v>
      </c>
      <c r="P20" s="692">
        <v>2440.6916056599998</v>
      </c>
      <c r="Q20" s="189"/>
      <c r="R20" s="41">
        <f t="shared" si="0"/>
        <v>-2.3801198102543997E-2</v>
      </c>
      <c r="S20" s="249"/>
      <c r="T20" s="829"/>
      <c r="U20" s="249"/>
      <c r="W20" s="519"/>
    </row>
    <row r="21" spans="2:29" s="33" customFormat="1" ht="19.5" customHeight="1" x14ac:dyDescent="0.25">
      <c r="B21" s="45" t="s">
        <v>183</v>
      </c>
      <c r="C21" s="58"/>
      <c r="D21" s="58"/>
      <c r="E21" s="62"/>
      <c r="F21" s="58">
        <v>6299.4030000000002</v>
      </c>
      <c r="G21" s="58">
        <v>6275.4930000000004</v>
      </c>
      <c r="H21" s="62">
        <v>6245.1840000000002</v>
      </c>
      <c r="I21" s="62">
        <v>6070.2709999999997</v>
      </c>
      <c r="J21" s="62">
        <v>6104.8459999999995</v>
      </c>
      <c r="K21" s="62">
        <v>6127.7669999999998</v>
      </c>
      <c r="L21" s="62">
        <v>6073.9040000000005</v>
      </c>
      <c r="M21" s="62">
        <v>5974.3810000000003</v>
      </c>
      <c r="N21" s="62">
        <v>5899.0709999999999</v>
      </c>
      <c r="O21" s="212">
        <v>5893.2340000000004</v>
      </c>
      <c r="P21" s="692">
        <v>5801.2669999999998</v>
      </c>
      <c r="Q21" s="189"/>
      <c r="R21" s="41">
        <f t="shared" si="0"/>
        <v>-1.5605523215266981E-2</v>
      </c>
      <c r="S21" s="249"/>
      <c r="T21" s="829"/>
      <c r="U21" s="249"/>
    </row>
    <row r="22" spans="2:29" s="33" customFormat="1" ht="19.5" customHeight="1" x14ac:dyDescent="0.25">
      <c r="B22" s="45" t="s">
        <v>184</v>
      </c>
      <c r="C22" s="58"/>
      <c r="D22" s="58"/>
      <c r="E22" s="62"/>
      <c r="F22" s="58">
        <v>3484.6439999999998</v>
      </c>
      <c r="G22" s="58">
        <v>3637.232</v>
      </c>
      <c r="H22" s="62">
        <v>3621.1080000000002</v>
      </c>
      <c r="I22" s="62">
        <v>3689.6260000000002</v>
      </c>
      <c r="J22" s="62">
        <v>3652.1610000000001</v>
      </c>
      <c r="K22" s="62">
        <v>3800.7888938299998</v>
      </c>
      <c r="L22" s="62">
        <v>3821.5949999999998</v>
      </c>
      <c r="M22" s="62">
        <v>3623.6109999999999</v>
      </c>
      <c r="N22" s="62">
        <v>3723.4319999999998</v>
      </c>
      <c r="O22" s="212">
        <v>3663.9480000000003</v>
      </c>
      <c r="P22" s="692">
        <v>3650.3960000000002</v>
      </c>
      <c r="Q22" s="189"/>
      <c r="R22" s="41">
        <f t="shared" si="0"/>
        <v>-3.6987424494016041E-3</v>
      </c>
      <c r="S22" s="249"/>
      <c r="T22" s="829"/>
      <c r="U22" s="249"/>
    </row>
    <row r="23" spans="2:29" s="33" customFormat="1" ht="19.5" customHeight="1" x14ac:dyDescent="0.25">
      <c r="B23" s="45" t="s">
        <v>281</v>
      </c>
      <c r="C23" s="58"/>
      <c r="D23" s="58"/>
      <c r="E23" s="62"/>
      <c r="F23" s="58">
        <v>365.65600000000001</v>
      </c>
      <c r="G23" s="58">
        <v>2703.4119999999998</v>
      </c>
      <c r="H23" s="62">
        <v>1607.422</v>
      </c>
      <c r="I23" s="62">
        <v>549.56799999999998</v>
      </c>
      <c r="J23" s="62">
        <v>297.892</v>
      </c>
      <c r="K23" s="62">
        <v>621.68778474999999</v>
      </c>
      <c r="L23" s="62">
        <v>471.678</v>
      </c>
      <c r="M23" s="62">
        <v>406.07100000000003</v>
      </c>
      <c r="N23" s="62">
        <v>359.916</v>
      </c>
      <c r="O23" s="212">
        <v>407.24099999999999</v>
      </c>
      <c r="P23" s="692">
        <v>279.65800000000002</v>
      </c>
      <c r="Q23" s="189"/>
      <c r="R23" s="41">
        <f>P23/O23-1</f>
        <v>-0.31328623591436022</v>
      </c>
      <c r="S23" s="249"/>
      <c r="T23" s="829"/>
      <c r="U23" s="249"/>
    </row>
    <row r="24" spans="2:29" s="33" customFormat="1" ht="29.25" customHeight="1" x14ac:dyDescent="0.2">
      <c r="B24" s="48" t="s">
        <v>343</v>
      </c>
      <c r="C24" s="2"/>
      <c r="D24" s="2"/>
      <c r="E24" s="2"/>
      <c r="F24" s="2">
        <v>72113.659</v>
      </c>
      <c r="G24" s="2">
        <v>75038.237000000008</v>
      </c>
      <c r="H24" s="2">
        <v>75421.072</v>
      </c>
      <c r="I24" s="2">
        <v>79789.500999999989</v>
      </c>
      <c r="J24" s="2">
        <v>79496.032000000007</v>
      </c>
      <c r="K24" s="2">
        <v>81872.35641808997</v>
      </c>
      <c r="L24" s="2">
        <v>82656.067999999985</v>
      </c>
      <c r="M24" s="2">
        <v>75660.636999999988</v>
      </c>
      <c r="N24" s="2">
        <v>74679.885000000009</v>
      </c>
      <c r="O24" s="3">
        <v>76982.613345579986</v>
      </c>
      <c r="P24" s="693">
        <v>79258.884605659987</v>
      </c>
      <c r="Q24" s="189"/>
      <c r="R24" s="60">
        <f>P24/O24-1</f>
        <v>2.956864103666712E-2</v>
      </c>
      <c r="S24" s="805"/>
      <c r="T24" s="249"/>
      <c r="U24" s="249"/>
      <c r="V24" s="524"/>
      <c r="W24" s="719"/>
    </row>
    <row r="25" spans="2:29" s="42" customFormat="1" ht="18.75" customHeight="1" x14ac:dyDescent="0.25">
      <c r="B25" s="26"/>
      <c r="C25" s="57"/>
      <c r="D25" s="57"/>
      <c r="E25" s="57"/>
      <c r="F25" s="57"/>
      <c r="G25" s="57"/>
      <c r="H25" s="57"/>
      <c r="I25" s="57"/>
      <c r="J25" s="369"/>
      <c r="K25" s="369"/>
      <c r="L25" s="369"/>
      <c r="M25" s="369"/>
      <c r="N25" s="369"/>
      <c r="O25" s="224"/>
      <c r="P25" s="694"/>
      <c r="Q25" s="189"/>
      <c r="R25" s="41"/>
    </row>
    <row r="26" spans="2:29" s="17" customFormat="1" ht="19.5" customHeight="1" x14ac:dyDescent="0.25">
      <c r="B26" s="40" t="s">
        <v>12</v>
      </c>
      <c r="C26" s="57"/>
      <c r="D26" s="57"/>
      <c r="E26" s="57"/>
      <c r="F26" s="57"/>
      <c r="G26" s="57"/>
      <c r="H26" s="57"/>
      <c r="I26" s="57"/>
      <c r="J26" s="57"/>
      <c r="K26" s="57"/>
      <c r="L26" s="369"/>
      <c r="M26" s="369"/>
      <c r="N26" s="369"/>
      <c r="O26" s="224"/>
      <c r="P26" s="694"/>
      <c r="Q26" s="187"/>
      <c r="R26" s="41"/>
    </row>
    <row r="27" spans="2:29" s="33" customFormat="1" ht="19.5" customHeight="1" x14ac:dyDescent="0.25">
      <c r="B27" s="45" t="s">
        <v>185</v>
      </c>
      <c r="C27" s="58"/>
      <c r="D27" s="58"/>
      <c r="E27" s="58"/>
      <c r="F27" s="62">
        <v>11408.450999999999</v>
      </c>
      <c r="G27" s="58">
        <v>13791.319</v>
      </c>
      <c r="H27" s="58">
        <v>13931.491</v>
      </c>
      <c r="I27" s="62">
        <v>14865.352999999999</v>
      </c>
      <c r="J27" s="62">
        <v>14843.165999999999</v>
      </c>
      <c r="K27" s="62">
        <v>15405.651</v>
      </c>
      <c r="L27" s="62">
        <v>15455.851000000001</v>
      </c>
      <c r="M27" s="62">
        <v>6921.598</v>
      </c>
      <c r="N27" s="62">
        <v>6914.1940000000004</v>
      </c>
      <c r="O27" s="212">
        <v>7657.5020000000004</v>
      </c>
      <c r="P27" s="692">
        <v>8748.9509999999991</v>
      </c>
      <c r="Q27" s="190"/>
      <c r="R27" s="41">
        <f>P27/O27-1</f>
        <v>0.14253329610622356</v>
      </c>
      <c r="S27" s="249"/>
      <c r="T27" s="829"/>
      <c r="U27" s="249"/>
    </row>
    <row r="28" spans="2:29" s="33" customFormat="1" ht="19.5" customHeight="1" x14ac:dyDescent="0.25">
      <c r="B28" s="56" t="s">
        <v>45</v>
      </c>
      <c r="C28" s="58"/>
      <c r="D28" s="58"/>
      <c r="E28" s="58"/>
      <c r="F28" s="58">
        <v>11000</v>
      </c>
      <c r="G28" s="58">
        <v>13500</v>
      </c>
      <c r="H28" s="58">
        <v>13500</v>
      </c>
      <c r="I28" s="62">
        <v>14500</v>
      </c>
      <c r="J28" s="62">
        <v>14500</v>
      </c>
      <c r="K28" s="62">
        <v>14500</v>
      </c>
      <c r="L28" s="62">
        <v>14400</v>
      </c>
      <c r="M28" s="62">
        <v>5500</v>
      </c>
      <c r="N28" s="62">
        <v>5500</v>
      </c>
      <c r="O28" s="212">
        <v>5500</v>
      </c>
      <c r="P28" s="692">
        <v>5500</v>
      </c>
      <c r="Q28" s="190"/>
      <c r="R28" s="41">
        <f t="shared" ref="R28:R29" si="1">P28/O28-1</f>
        <v>0</v>
      </c>
      <c r="S28" s="249"/>
      <c r="T28" s="829"/>
      <c r="U28" s="605"/>
    </row>
    <row r="29" spans="2:29" s="33" customFormat="1" ht="19.5" customHeight="1" x14ac:dyDescent="0.25">
      <c r="B29" s="56" t="s">
        <v>46</v>
      </c>
      <c r="C29" s="58"/>
      <c r="D29" s="58"/>
      <c r="E29" s="58"/>
      <c r="F29" s="58">
        <v>408.45099999999911</v>
      </c>
      <c r="G29" s="58">
        <v>291.31899999999951</v>
      </c>
      <c r="H29" s="58">
        <v>431.49099999999999</v>
      </c>
      <c r="I29" s="62">
        <v>365.35299999999916</v>
      </c>
      <c r="J29" s="62">
        <v>343.16599999999926</v>
      </c>
      <c r="K29" s="62">
        <v>905.65099999999984</v>
      </c>
      <c r="L29" s="62">
        <v>1055.8510000000006</v>
      </c>
      <c r="M29" s="62">
        <v>1421.598</v>
      </c>
      <c r="N29" s="62">
        <v>1414.1940000000004</v>
      </c>
      <c r="O29" s="212">
        <v>2157.5020000000004</v>
      </c>
      <c r="P29" s="692">
        <v>3248.9509999999991</v>
      </c>
      <c r="Q29" s="190"/>
      <c r="R29" s="41">
        <f t="shared" si="1"/>
        <v>0.5058855101872437</v>
      </c>
      <c r="S29" s="249"/>
      <c r="T29" s="830"/>
    </row>
    <row r="30" spans="2:29" s="33" customFormat="1" ht="19.5" customHeight="1" x14ac:dyDescent="0.25">
      <c r="B30" s="45" t="s">
        <v>186</v>
      </c>
      <c r="C30" s="58"/>
      <c r="D30" s="58"/>
      <c r="E30" s="58"/>
      <c r="F30" s="62">
        <v>8.9589999999999996</v>
      </c>
      <c r="G30" s="58">
        <v>0</v>
      </c>
      <c r="H30" s="62">
        <v>0.40500000000000003</v>
      </c>
      <c r="I30" s="62">
        <v>0</v>
      </c>
      <c r="J30" s="62">
        <v>0</v>
      </c>
      <c r="K30" s="62">
        <v>0</v>
      </c>
      <c r="L30" s="62">
        <v>9.7000000000000003E-2</v>
      </c>
      <c r="M30" s="62">
        <v>9.7000000000000003E-2</v>
      </c>
      <c r="N30" s="62">
        <v>9.7000000000000003E-2</v>
      </c>
      <c r="O30" s="212">
        <v>9.7000000000000003E-2</v>
      </c>
      <c r="P30" s="692">
        <v>9.7000000000000003E-2</v>
      </c>
      <c r="Q30" s="190"/>
      <c r="R30" s="41" t="s">
        <v>228</v>
      </c>
      <c r="S30" s="249"/>
      <c r="T30" s="829"/>
      <c r="U30" s="250"/>
      <c r="V30" s="250"/>
      <c r="W30" s="250"/>
      <c r="X30" s="249"/>
    </row>
    <row r="31" spans="2:29" s="33" customFormat="1" ht="19.5" customHeight="1" x14ac:dyDescent="0.25">
      <c r="B31" s="45" t="s">
        <v>187</v>
      </c>
      <c r="C31" s="58"/>
      <c r="D31" s="58"/>
      <c r="E31" s="58"/>
      <c r="F31" s="62">
        <v>477.95800000000003</v>
      </c>
      <c r="G31" s="58">
        <v>457.04700000000003</v>
      </c>
      <c r="H31" s="58">
        <v>416.56</v>
      </c>
      <c r="I31" s="62">
        <v>392.69</v>
      </c>
      <c r="J31" s="62">
        <v>352.846</v>
      </c>
      <c r="K31" s="62">
        <v>774.53899999999999</v>
      </c>
      <c r="L31" s="62">
        <v>679.07500000000005</v>
      </c>
      <c r="M31" s="62">
        <v>655.55600000000004</v>
      </c>
      <c r="N31" s="62">
        <v>626.82399999999996</v>
      </c>
      <c r="O31" s="212">
        <v>632.13199999999995</v>
      </c>
      <c r="P31" s="692">
        <v>679.12199999999996</v>
      </c>
      <c r="Q31" s="190"/>
      <c r="R31" s="41">
        <f>P31/O31-1</f>
        <v>7.4335740003670159E-2</v>
      </c>
      <c r="S31" s="249"/>
      <c r="T31" s="829"/>
    </row>
    <row r="32" spans="2:29" s="33" customFormat="1" ht="19.5" customHeight="1" x14ac:dyDescent="0.25">
      <c r="B32" s="45" t="s">
        <v>188</v>
      </c>
      <c r="C32" s="58"/>
      <c r="D32" s="58"/>
      <c r="E32" s="58"/>
      <c r="F32" s="62">
        <v>50430.936000000002</v>
      </c>
      <c r="G32" s="58">
        <v>51214.957999999999</v>
      </c>
      <c r="H32" s="58">
        <v>52232.855000000003</v>
      </c>
      <c r="I32" s="62">
        <v>55441.917000000001</v>
      </c>
      <c r="J32" s="62">
        <v>54853.94</v>
      </c>
      <c r="K32" s="62">
        <v>56079.063000000002</v>
      </c>
      <c r="L32" s="62">
        <v>56732.552000000003</v>
      </c>
      <c r="M32" s="62">
        <v>58371.917000000001</v>
      </c>
      <c r="N32" s="62">
        <v>57173.915000000001</v>
      </c>
      <c r="O32" s="212">
        <v>58381.487999999998</v>
      </c>
      <c r="P32" s="692">
        <v>58663.074000000001</v>
      </c>
      <c r="Q32" s="189"/>
      <c r="R32" s="41">
        <f t="shared" ref="R32:R36" si="2">P32/O32-1</f>
        <v>4.8232069727307536E-3</v>
      </c>
      <c r="S32" s="249"/>
      <c r="T32" s="829"/>
      <c r="U32" s="249"/>
      <c r="V32" s="720"/>
      <c r="W32" s="250"/>
      <c r="Y32" s="250"/>
      <c r="AA32" s="250"/>
      <c r="AB32" s="249"/>
      <c r="AC32" s="249"/>
    </row>
    <row r="33" spans="2:23" s="43" customFormat="1" ht="19.5" customHeight="1" x14ac:dyDescent="0.25">
      <c r="B33" s="45" t="s">
        <v>189</v>
      </c>
      <c r="C33" s="58"/>
      <c r="D33" s="58"/>
      <c r="E33" s="58"/>
      <c r="F33" s="62">
        <v>1392.8049999999998</v>
      </c>
      <c r="G33" s="58">
        <v>1370.9659999999999</v>
      </c>
      <c r="H33" s="58">
        <v>1388.259</v>
      </c>
      <c r="I33" s="62">
        <v>1905.826</v>
      </c>
      <c r="J33" s="62">
        <v>1900.231</v>
      </c>
      <c r="K33" s="62">
        <v>1883.566</v>
      </c>
      <c r="L33" s="62">
        <v>1906.095</v>
      </c>
      <c r="M33" s="62">
        <v>1786.289</v>
      </c>
      <c r="N33" s="62">
        <v>1783.144</v>
      </c>
      <c r="O33" s="212">
        <v>1773.7460000000001</v>
      </c>
      <c r="P33" s="692">
        <v>2308.1460000000002</v>
      </c>
      <c r="Q33" s="189"/>
      <c r="R33" s="41">
        <f t="shared" si="2"/>
        <v>0.30128327280230649</v>
      </c>
      <c r="S33" s="249"/>
      <c r="T33" s="829"/>
      <c r="U33" s="249"/>
    </row>
    <row r="34" spans="2:23" s="33" customFormat="1" ht="19.5" customHeight="1" x14ac:dyDescent="0.25">
      <c r="B34" s="45" t="s">
        <v>190</v>
      </c>
      <c r="C34" s="58"/>
      <c r="D34" s="58"/>
      <c r="E34" s="58"/>
      <c r="F34" s="62">
        <v>31.356000000000002</v>
      </c>
      <c r="G34" s="58">
        <v>31.388999999999999</v>
      </c>
      <c r="H34" s="58">
        <v>31.463999999999999</v>
      </c>
      <c r="I34" s="62">
        <v>10.042999999999999</v>
      </c>
      <c r="J34" s="62">
        <v>9.9710000000000001</v>
      </c>
      <c r="K34" s="62">
        <v>9.9179999999999993</v>
      </c>
      <c r="L34" s="62">
        <v>9.8930000000000007</v>
      </c>
      <c r="M34" s="62">
        <v>9.9359999999999999</v>
      </c>
      <c r="N34" s="62">
        <v>9.9640000000000004</v>
      </c>
      <c r="O34" s="212">
        <v>9.1920000000000002</v>
      </c>
      <c r="P34" s="692">
        <v>8.8620000000000001</v>
      </c>
      <c r="Q34" s="189"/>
      <c r="R34" s="41">
        <f t="shared" si="2"/>
        <v>-3.5900783289817273E-2</v>
      </c>
      <c r="S34" s="249"/>
      <c r="T34" s="829"/>
      <c r="U34" s="249"/>
      <c r="V34" s="721"/>
    </row>
    <row r="35" spans="2:23" s="33" customFormat="1" ht="19.5" customHeight="1" x14ac:dyDescent="0.25">
      <c r="B35" s="45" t="s">
        <v>191</v>
      </c>
      <c r="C35" s="58"/>
      <c r="D35" s="58"/>
      <c r="E35" s="58"/>
      <c r="F35" s="62">
        <v>124.456</v>
      </c>
      <c r="G35" s="58">
        <v>119.295</v>
      </c>
      <c r="H35" s="58">
        <v>114.456</v>
      </c>
      <c r="I35" s="62">
        <v>74.92</v>
      </c>
      <c r="J35" s="62">
        <v>69.616</v>
      </c>
      <c r="K35" s="62">
        <v>66.422728060000011</v>
      </c>
      <c r="L35" s="62">
        <v>64.58</v>
      </c>
      <c r="M35" s="62">
        <v>55.177</v>
      </c>
      <c r="N35" s="62">
        <v>52.134</v>
      </c>
      <c r="O35" s="212">
        <v>49.935000000000002</v>
      </c>
      <c r="P35" s="692">
        <v>48.396999999999998</v>
      </c>
      <c r="Q35" s="189"/>
      <c r="R35" s="41">
        <f t="shared" si="2"/>
        <v>-3.0800040052067712E-2</v>
      </c>
      <c r="S35" s="249"/>
      <c r="T35" s="829"/>
    </row>
    <row r="36" spans="2:23" s="33" customFormat="1" ht="19.5" customHeight="1" x14ac:dyDescent="0.25">
      <c r="B36" s="45" t="s">
        <v>192</v>
      </c>
      <c r="C36" s="58"/>
      <c r="D36" s="58"/>
      <c r="E36" s="58"/>
      <c r="F36" s="62">
        <v>1507.7159999999999</v>
      </c>
      <c r="G36" s="58">
        <v>1483.674</v>
      </c>
      <c r="H36" s="62">
        <v>1437.6370000000002</v>
      </c>
      <c r="I36" s="62">
        <v>1267.636</v>
      </c>
      <c r="J36" s="62">
        <v>1249.2050000000002</v>
      </c>
      <c r="K36" s="62">
        <v>1412.086</v>
      </c>
      <c r="L36" s="62">
        <v>1453.903</v>
      </c>
      <c r="M36" s="62">
        <v>1279.4090000000001</v>
      </c>
      <c r="N36" s="62">
        <v>1354.3989999999999</v>
      </c>
      <c r="O36" s="212">
        <v>1585.8819999999998</v>
      </c>
      <c r="P36" s="692">
        <v>1656.9110000000001</v>
      </c>
      <c r="Q36" s="189"/>
      <c r="R36" s="41">
        <f t="shared" si="2"/>
        <v>4.4788325991467426E-2</v>
      </c>
      <c r="S36" s="249"/>
      <c r="T36" s="829"/>
      <c r="V36" s="251"/>
    </row>
    <row r="37" spans="2:23" s="33" customFormat="1" ht="19.5" customHeight="1" x14ac:dyDescent="0.25">
      <c r="B37" s="47" t="s">
        <v>280</v>
      </c>
      <c r="C37" s="58"/>
      <c r="D37" s="58"/>
      <c r="E37" s="58"/>
      <c r="F37" s="62">
        <v>32.015000000000001</v>
      </c>
      <c r="G37" s="58">
        <v>32.445</v>
      </c>
      <c r="H37" s="58">
        <v>31.777999999999999</v>
      </c>
      <c r="I37" s="62">
        <v>28.324999999999999</v>
      </c>
      <c r="J37" s="62">
        <v>28.036999999999999</v>
      </c>
      <c r="K37" s="62">
        <v>28.224</v>
      </c>
      <c r="L37" s="62">
        <v>0</v>
      </c>
      <c r="M37" s="62">
        <v>0</v>
      </c>
      <c r="N37" s="62">
        <v>0</v>
      </c>
      <c r="O37" s="212">
        <v>0</v>
      </c>
      <c r="P37" s="692">
        <v>0</v>
      </c>
      <c r="Q37" s="189"/>
      <c r="R37" s="41" t="s">
        <v>228</v>
      </c>
      <c r="S37" s="249"/>
      <c r="T37" s="829"/>
    </row>
    <row r="38" spans="2:23" s="33" customFormat="1" ht="29.25" customHeight="1" x14ac:dyDescent="0.2">
      <c r="B38" s="48" t="s">
        <v>344</v>
      </c>
      <c r="C38" s="2"/>
      <c r="D38" s="2"/>
      <c r="E38" s="2"/>
      <c r="F38" s="2">
        <v>65414.652000000002</v>
      </c>
      <c r="G38" s="2">
        <v>68501.092999999993</v>
      </c>
      <c r="H38" s="2">
        <v>69584.905000000028</v>
      </c>
      <c r="I38" s="2">
        <v>73986.710000000006</v>
      </c>
      <c r="J38" s="2">
        <v>73307.012000000002</v>
      </c>
      <c r="K38" s="2">
        <v>75659.533998480008</v>
      </c>
      <c r="L38" s="2">
        <v>76302.046000000017</v>
      </c>
      <c r="M38" s="2">
        <v>69079.979000000007</v>
      </c>
      <c r="N38" s="2">
        <v>67914.671000000017</v>
      </c>
      <c r="O38" s="3">
        <v>70089.973999999973</v>
      </c>
      <c r="P38" s="693">
        <v>72113.559999999983</v>
      </c>
      <c r="Q38" s="189"/>
      <c r="R38" s="60">
        <f>P38/O38-1</f>
        <v>2.8871261958236971E-2</v>
      </c>
      <c r="S38" s="249"/>
      <c r="T38" s="249"/>
      <c r="W38" s="524"/>
    </row>
    <row r="39" spans="2:23" s="33" customFormat="1" ht="19.5" customHeight="1" x14ac:dyDescent="0.25">
      <c r="B39" s="45" t="s">
        <v>193</v>
      </c>
      <c r="C39" s="58"/>
      <c r="D39" s="58"/>
      <c r="E39" s="58"/>
      <c r="F39" s="58">
        <v>6590.5179999999964</v>
      </c>
      <c r="G39" s="58">
        <v>5827.7029999999995</v>
      </c>
      <c r="H39" s="58">
        <v>5126.8229999999985</v>
      </c>
      <c r="I39" s="62">
        <v>5187.5159999999996</v>
      </c>
      <c r="J39" s="62">
        <v>5569.0329999999976</v>
      </c>
      <c r="K39" s="62">
        <v>5595.5579999999991</v>
      </c>
      <c r="L39" s="62">
        <v>5725.6030000000001</v>
      </c>
      <c r="M39" s="62">
        <v>5952.7990000000009</v>
      </c>
      <c r="N39" s="62">
        <v>6138.3770000000013</v>
      </c>
      <c r="O39" s="212">
        <v>6250.2910000000002</v>
      </c>
      <c r="P39" s="692">
        <v>6503.2379999999994</v>
      </c>
      <c r="Q39" s="189"/>
      <c r="R39" s="41">
        <f>P39/O39-1</f>
        <v>4.0469635733760168E-2</v>
      </c>
      <c r="T39" s="249"/>
    </row>
    <row r="40" spans="2:23" s="33" customFormat="1" ht="19.5" customHeight="1" x14ac:dyDescent="0.25">
      <c r="B40" s="45" t="s">
        <v>194</v>
      </c>
      <c r="C40" s="58"/>
      <c r="D40" s="58"/>
      <c r="E40" s="58"/>
      <c r="F40" s="58"/>
      <c r="G40" s="58">
        <v>600</v>
      </c>
      <c r="H40" s="62">
        <v>600</v>
      </c>
      <c r="I40" s="62">
        <v>600</v>
      </c>
      <c r="J40" s="62">
        <v>600</v>
      </c>
      <c r="K40" s="62">
        <v>600</v>
      </c>
      <c r="L40" s="62">
        <v>600</v>
      </c>
      <c r="M40" s="62">
        <v>600</v>
      </c>
      <c r="N40" s="62">
        <v>600</v>
      </c>
      <c r="O40" s="212">
        <v>600</v>
      </c>
      <c r="P40" s="692">
        <v>600</v>
      </c>
      <c r="Q40" s="189"/>
      <c r="R40" s="41">
        <f t="shared" ref="R40:R41" si="3">P40/O40-1</f>
        <v>0</v>
      </c>
      <c r="T40" s="249"/>
    </row>
    <row r="41" spans="2:23" s="33" customFormat="1" ht="19.5" customHeight="1" x14ac:dyDescent="0.25">
      <c r="B41" s="45" t="s">
        <v>345</v>
      </c>
      <c r="C41" s="58"/>
      <c r="D41" s="58"/>
      <c r="E41" s="58"/>
      <c r="F41" s="58">
        <v>108.488</v>
      </c>
      <c r="G41" s="58">
        <v>109.441</v>
      </c>
      <c r="H41" s="62">
        <v>109.34399999999999</v>
      </c>
      <c r="I41" s="62">
        <v>15.275</v>
      </c>
      <c r="J41" s="62">
        <v>19.986999999999998</v>
      </c>
      <c r="K41" s="62">
        <v>17.265999999999998</v>
      </c>
      <c r="L41" s="62">
        <v>28.422000000000001</v>
      </c>
      <c r="M41" s="62">
        <v>27.856999999999999</v>
      </c>
      <c r="N41" s="62">
        <v>26.838000000000001</v>
      </c>
      <c r="O41" s="212">
        <v>42.353000000000002</v>
      </c>
      <c r="P41" s="692">
        <v>42.085999999999999</v>
      </c>
      <c r="Q41" s="189"/>
      <c r="R41" s="41">
        <f t="shared" si="3"/>
        <v>-6.3041579108918944E-3</v>
      </c>
      <c r="T41" s="249"/>
    </row>
    <row r="42" spans="2:23" s="33" customFormat="1" ht="19.5" customHeight="1" x14ac:dyDescent="0.2">
      <c r="B42" s="222" t="s">
        <v>346</v>
      </c>
      <c r="C42" s="2"/>
      <c r="D42" s="2"/>
      <c r="E42" s="2"/>
      <c r="F42" s="2">
        <v>6699.0059999999967</v>
      </c>
      <c r="G42" s="2">
        <v>6537.1439999999993</v>
      </c>
      <c r="H42" s="2">
        <v>5836.1669999999986</v>
      </c>
      <c r="I42" s="2">
        <v>5802.7909999999993</v>
      </c>
      <c r="J42" s="2">
        <v>6189.0199999999977</v>
      </c>
      <c r="K42" s="2">
        <v>6212.8239999999987</v>
      </c>
      <c r="L42" s="2">
        <v>6354.0249999999996</v>
      </c>
      <c r="M42" s="2">
        <v>6580.6560000000009</v>
      </c>
      <c r="N42" s="2">
        <v>6765.2150000000011</v>
      </c>
      <c r="O42" s="3">
        <v>6892.6440000000002</v>
      </c>
      <c r="P42" s="693">
        <v>7145.3239999999996</v>
      </c>
      <c r="Q42" s="189"/>
      <c r="R42" s="370">
        <f>P42/O42-1</f>
        <v>3.6659371933324802E-2</v>
      </c>
      <c r="S42" s="249"/>
      <c r="T42" s="249"/>
      <c r="U42" s="524"/>
      <c r="W42" s="249"/>
    </row>
    <row r="43" spans="2:23" s="33" customFormat="1" ht="19.5" customHeight="1" x14ac:dyDescent="0.25">
      <c r="B43" s="45" t="s">
        <v>347</v>
      </c>
      <c r="C43" s="57"/>
      <c r="D43" s="57"/>
      <c r="E43" s="57"/>
      <c r="F43" s="57">
        <v>6320.5929999999962</v>
      </c>
      <c r="G43" s="57">
        <v>5546.9239999999991</v>
      </c>
      <c r="H43" s="57">
        <v>4845.0149999999985</v>
      </c>
      <c r="I43" s="369">
        <v>4920.5329999999994</v>
      </c>
      <c r="J43" s="369">
        <v>5303.9159999999974</v>
      </c>
      <c r="K43" s="369">
        <v>5312.3939999999993</v>
      </c>
      <c r="L43" s="369">
        <v>5426.1259999999993</v>
      </c>
      <c r="M43" s="369">
        <v>5640.7830000000013</v>
      </c>
      <c r="N43" s="369">
        <v>5825.1000000000013</v>
      </c>
      <c r="O43" s="224">
        <v>5920.1890000000003</v>
      </c>
      <c r="P43" s="694">
        <v>6170.9859999999999</v>
      </c>
      <c r="Q43" s="189"/>
      <c r="R43" s="41">
        <f>P43/O43-1</f>
        <v>4.2363005640529305E-2</v>
      </c>
      <c r="S43" s="249"/>
      <c r="T43" s="249"/>
    </row>
    <row r="44" spans="2:23" s="33" customFormat="1" ht="29.25" customHeight="1" x14ac:dyDescent="0.2">
      <c r="B44" s="79" t="s">
        <v>348</v>
      </c>
      <c r="C44" s="123"/>
      <c r="D44" s="123"/>
      <c r="E44" s="123"/>
      <c r="F44" s="123">
        <v>72113.657999999996</v>
      </c>
      <c r="G44" s="123">
        <v>75038.236999999994</v>
      </c>
      <c r="H44" s="123">
        <v>75421.072000000029</v>
      </c>
      <c r="I44" s="123">
        <v>79789.501000000004</v>
      </c>
      <c r="J44" s="518">
        <v>79496.032000000007</v>
      </c>
      <c r="K44" s="518">
        <v>81872.357998480002</v>
      </c>
      <c r="L44" s="518">
        <v>82656.071000000011</v>
      </c>
      <c r="M44" s="779">
        <v>75660.635000000009</v>
      </c>
      <c r="N44" s="779">
        <v>74679.886000000013</v>
      </c>
      <c r="O44" s="780">
        <v>76982.617999999973</v>
      </c>
      <c r="P44" s="695">
        <v>79258.883999999976</v>
      </c>
      <c r="Q44" s="189"/>
      <c r="R44" s="371">
        <f>P44/O44-1</f>
        <v>2.9568570920776027E-2</v>
      </c>
      <c r="S44" s="249"/>
      <c r="T44" s="249"/>
    </row>
    <row r="45" spans="2:23" ht="12.75" customHeight="1" x14ac:dyDescent="0.2"/>
    <row r="46" spans="2:23" ht="18" customHeight="1" x14ac:dyDescent="0.2">
      <c r="B46" s="937" t="s">
        <v>99</v>
      </c>
      <c r="C46" s="937"/>
      <c r="D46" s="937"/>
      <c r="E46" s="937"/>
      <c r="F46" s="937"/>
      <c r="G46" s="937"/>
      <c r="H46" s="937"/>
      <c r="I46" s="937"/>
      <c r="J46" s="937"/>
      <c r="K46" s="937"/>
      <c r="L46" s="937"/>
      <c r="M46" s="937"/>
      <c r="N46" s="937"/>
      <c r="O46" s="937"/>
      <c r="P46" s="937"/>
      <c r="Q46" s="937"/>
      <c r="R46" s="937"/>
    </row>
    <row r="47" spans="2:23" ht="18" customHeight="1" x14ac:dyDescent="0.2">
      <c r="B47" s="937" t="s">
        <v>100</v>
      </c>
      <c r="C47" s="937"/>
      <c r="D47" s="937"/>
      <c r="E47" s="937"/>
      <c r="F47" s="937"/>
      <c r="G47" s="937"/>
      <c r="H47" s="937"/>
      <c r="I47" s="937"/>
      <c r="J47" s="937"/>
      <c r="K47" s="937"/>
      <c r="L47" s="937"/>
      <c r="M47" s="937"/>
      <c r="N47" s="937"/>
      <c r="O47" s="937"/>
      <c r="P47" s="937"/>
      <c r="Q47" s="937"/>
      <c r="R47" s="937"/>
    </row>
    <row r="48" spans="2:23" ht="18" customHeight="1" x14ac:dyDescent="0.2">
      <c r="B48" s="937" t="s">
        <v>101</v>
      </c>
      <c r="C48" s="937"/>
      <c r="D48" s="937"/>
      <c r="E48" s="937"/>
      <c r="F48" s="937"/>
      <c r="G48" s="937"/>
      <c r="H48" s="937"/>
      <c r="I48" s="937"/>
      <c r="J48" s="937"/>
      <c r="K48" s="937"/>
      <c r="L48" s="937"/>
      <c r="M48" s="937"/>
      <c r="N48" s="937"/>
      <c r="O48" s="937"/>
      <c r="P48" s="937"/>
      <c r="Q48" s="937"/>
      <c r="R48" s="937"/>
    </row>
    <row r="49" spans="2:18" ht="18" customHeight="1" x14ac:dyDescent="0.2">
      <c r="B49" s="937" t="s">
        <v>102</v>
      </c>
      <c r="C49" s="937"/>
      <c r="D49" s="937"/>
      <c r="E49" s="937"/>
      <c r="F49" s="937"/>
      <c r="G49" s="937"/>
      <c r="H49" s="937"/>
      <c r="I49" s="937"/>
      <c r="J49" s="937"/>
      <c r="K49" s="937"/>
      <c r="L49" s="937"/>
      <c r="M49" s="937"/>
      <c r="N49" s="937"/>
      <c r="O49" s="937"/>
      <c r="P49" s="937"/>
      <c r="Q49" s="937"/>
      <c r="R49" s="937"/>
    </row>
    <row r="50" spans="2:18" ht="18" customHeight="1" x14ac:dyDescent="0.2">
      <c r="B50" s="937" t="s">
        <v>203</v>
      </c>
      <c r="C50" s="937"/>
      <c r="D50" s="937"/>
      <c r="E50" s="937"/>
      <c r="F50" s="937"/>
      <c r="G50" s="937"/>
      <c r="H50" s="937"/>
      <c r="I50" s="937"/>
      <c r="J50" s="937"/>
      <c r="K50" s="937"/>
      <c r="L50" s="937"/>
      <c r="M50" s="937"/>
      <c r="N50" s="937"/>
      <c r="O50" s="937"/>
      <c r="P50" s="937"/>
      <c r="Q50" s="937"/>
      <c r="R50" s="937"/>
    </row>
    <row r="51" spans="2:18" ht="18" customHeight="1" x14ac:dyDescent="0.2">
      <c r="B51" s="937" t="s">
        <v>202</v>
      </c>
      <c r="C51" s="937"/>
      <c r="D51" s="937"/>
      <c r="E51" s="937"/>
      <c r="F51" s="937"/>
      <c r="G51" s="937"/>
      <c r="H51" s="937"/>
      <c r="I51" s="937"/>
      <c r="J51" s="937"/>
      <c r="K51" s="937"/>
      <c r="L51" s="937"/>
      <c r="M51" s="937"/>
      <c r="N51" s="937"/>
      <c r="O51" s="937"/>
      <c r="P51" s="937"/>
      <c r="Q51" s="937"/>
      <c r="R51" s="937"/>
    </row>
    <row r="52" spans="2:18" ht="18" customHeight="1" x14ac:dyDescent="0.2">
      <c r="B52" s="937" t="s">
        <v>223</v>
      </c>
      <c r="C52" s="937"/>
      <c r="D52" s="937"/>
      <c r="E52" s="937"/>
      <c r="F52" s="937"/>
      <c r="G52" s="937"/>
      <c r="H52" s="937"/>
      <c r="I52" s="937"/>
      <c r="J52" s="937"/>
      <c r="K52" s="937"/>
      <c r="L52" s="937"/>
      <c r="M52" s="937"/>
      <c r="N52" s="937"/>
      <c r="O52" s="937"/>
      <c r="P52" s="937"/>
      <c r="Q52" s="937"/>
      <c r="R52" s="937"/>
    </row>
    <row r="53" spans="2:18" ht="18" customHeight="1" x14ac:dyDescent="0.2">
      <c r="B53" s="937" t="s">
        <v>234</v>
      </c>
      <c r="C53" s="937"/>
      <c r="D53" s="937"/>
      <c r="E53" s="937"/>
      <c r="F53" s="937"/>
      <c r="G53" s="937"/>
      <c r="H53" s="937"/>
      <c r="I53" s="937"/>
      <c r="J53" s="937"/>
      <c r="K53" s="937"/>
      <c r="L53" s="937"/>
      <c r="M53" s="937"/>
      <c r="N53" s="937"/>
      <c r="O53" s="937"/>
      <c r="P53" s="937"/>
      <c r="Q53" s="937"/>
      <c r="R53" s="937"/>
    </row>
    <row r="54" spans="2:18" ht="18" customHeight="1" x14ac:dyDescent="0.2">
      <c r="B54" s="937" t="s">
        <v>253</v>
      </c>
      <c r="C54" s="937"/>
      <c r="D54" s="937"/>
      <c r="E54" s="937"/>
      <c r="F54" s="937"/>
      <c r="G54" s="937"/>
      <c r="H54" s="937"/>
      <c r="I54" s="937"/>
      <c r="J54" s="937"/>
      <c r="K54" s="937"/>
      <c r="L54" s="937"/>
      <c r="M54" s="937"/>
      <c r="N54" s="937"/>
      <c r="O54" s="937"/>
      <c r="P54" s="937"/>
      <c r="Q54" s="937"/>
      <c r="R54" s="937"/>
    </row>
    <row r="55" spans="2:18" ht="18" customHeight="1" x14ac:dyDescent="0.2">
      <c r="B55" s="937" t="s">
        <v>259</v>
      </c>
      <c r="C55" s="937"/>
      <c r="D55" s="937"/>
      <c r="E55" s="937"/>
      <c r="F55" s="937"/>
      <c r="G55" s="937"/>
      <c r="H55" s="937"/>
      <c r="I55" s="937"/>
      <c r="J55" s="937"/>
      <c r="K55" s="937"/>
      <c r="L55" s="937"/>
      <c r="M55" s="937"/>
      <c r="N55" s="937"/>
      <c r="O55" s="937"/>
      <c r="P55" s="937"/>
      <c r="Q55" s="937"/>
      <c r="R55" s="937"/>
    </row>
    <row r="56" spans="2:18" x14ac:dyDescent="0.2">
      <c r="B56" s="937" t="s">
        <v>279</v>
      </c>
      <c r="C56" s="937"/>
      <c r="D56" s="937"/>
      <c r="E56" s="937"/>
      <c r="F56" s="937"/>
      <c r="G56" s="937"/>
      <c r="H56" s="937"/>
      <c r="I56" s="937"/>
      <c r="J56" s="937"/>
      <c r="K56" s="937"/>
      <c r="L56" s="937"/>
      <c r="M56" s="937"/>
      <c r="N56" s="937"/>
      <c r="O56" s="937"/>
      <c r="P56" s="937"/>
      <c r="Q56" s="937"/>
      <c r="R56" s="937"/>
    </row>
  </sheetData>
  <mergeCells count="12">
    <mergeCell ref="B56:R56"/>
    <mergeCell ref="B55:R55"/>
    <mergeCell ref="B54:R54"/>
    <mergeCell ref="B53:R53"/>
    <mergeCell ref="B51:R51"/>
    <mergeCell ref="B46:R46"/>
    <mergeCell ref="B52:R52"/>
    <mergeCell ref="B5:R5"/>
    <mergeCell ref="B50:R50"/>
    <mergeCell ref="B48:R48"/>
    <mergeCell ref="B49:R49"/>
    <mergeCell ref="B47:R47"/>
  </mergeCells>
  <hyperlinks>
    <hyperlink ref="R2" location="'Cover '!A1" display="Back to Cover" xr:uid="{00000000-0004-0000-0100-000000000000}"/>
  </hyperlinks>
  <printOptions horizontalCentered="1" verticalCentered="1"/>
  <pageMargins left="0" right="0" top="0" bottom="0" header="0" footer="0"/>
  <pageSetup paperSize="8" scale="5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Q57"/>
  <sheetViews>
    <sheetView showGridLines="0" view="pageBreakPreview" zoomScale="80" zoomScaleNormal="90" zoomScaleSheetLayoutView="80" workbookViewId="0">
      <pane xSplit="2" ySplit="8" topLeftCell="C9" activePane="bottomRight" state="frozen"/>
      <selection activeCell="M28" sqref="M28"/>
      <selection pane="topRight" activeCell="M28" sqref="M28"/>
      <selection pane="bottomLeft" activeCell="M28" sqref="M28"/>
      <selection pane="bottomRight" activeCell="Q12" sqref="Q12"/>
    </sheetView>
  </sheetViews>
  <sheetFormatPr defaultColWidth="9.140625" defaultRowHeight="12.75" x14ac:dyDescent="0.2"/>
  <cols>
    <col min="1" max="1" width="2.42578125" style="36" customWidth="1"/>
    <col min="2" max="2" width="82.85546875" style="36" customWidth="1"/>
    <col min="3" max="13" width="15" style="36" customWidth="1"/>
    <col min="14" max="14" width="2.42578125" style="36" customWidth="1"/>
    <col min="15" max="16384" width="9.140625" style="36"/>
  </cols>
  <sheetData>
    <row r="1" spans="1:16" s="31" customFormat="1" ht="15.75" customHeight="1" x14ac:dyDescent="0.2">
      <c r="B1" s="36"/>
      <c r="C1" s="36"/>
      <c r="D1" s="36"/>
      <c r="E1" s="36"/>
      <c r="F1" s="36"/>
      <c r="G1" s="36"/>
      <c r="H1" s="36"/>
      <c r="I1" s="36"/>
      <c r="J1" s="36"/>
      <c r="K1" s="36"/>
      <c r="L1" s="36"/>
      <c r="M1" s="36"/>
    </row>
    <row r="2" spans="1:16" s="31" customFormat="1" ht="15.75" customHeight="1" x14ac:dyDescent="0.2">
      <c r="B2" s="36"/>
      <c r="M2" s="32" t="s">
        <v>21</v>
      </c>
    </row>
    <row r="3" spans="1:16" s="31" customFormat="1" ht="15.75" customHeight="1" x14ac:dyDescent="0.2">
      <c r="B3" s="36"/>
      <c r="C3" s="32"/>
      <c r="D3" s="32"/>
      <c r="E3" s="32"/>
      <c r="F3" s="32"/>
      <c r="G3" s="32"/>
      <c r="H3" s="32"/>
      <c r="I3" s="32"/>
      <c r="J3" s="32"/>
      <c r="K3" s="32"/>
      <c r="L3" s="32"/>
    </row>
    <row r="4" spans="1:16" ht="15.75" customHeight="1" x14ac:dyDescent="0.2"/>
    <row r="5" spans="1:16" s="75" customFormat="1" ht="26.25" x14ac:dyDescent="0.2">
      <c r="A5" s="74"/>
      <c r="B5" s="938" t="s">
        <v>26</v>
      </c>
      <c r="C5" s="938"/>
      <c r="D5" s="938"/>
      <c r="E5" s="938"/>
      <c r="F5" s="938"/>
      <c r="G5" s="938"/>
      <c r="H5" s="938"/>
      <c r="I5" s="938"/>
      <c r="J5" s="938"/>
      <c r="K5" s="938"/>
      <c r="L5" s="938"/>
      <c r="M5" s="938"/>
    </row>
    <row r="6" spans="1:16" s="77" customFormat="1" ht="9" customHeight="1" x14ac:dyDescent="0.2">
      <c r="A6" s="74"/>
      <c r="B6" s="76"/>
      <c r="C6" s="76"/>
      <c r="D6" s="76"/>
      <c r="E6" s="76"/>
      <c r="F6" s="76"/>
      <c r="G6" s="76"/>
      <c r="H6" s="76"/>
      <c r="I6" s="76"/>
      <c r="J6" s="76"/>
      <c r="K6" s="76"/>
      <c r="L6" s="76"/>
      <c r="M6" s="76"/>
    </row>
    <row r="7" spans="1:16" s="31" customFormat="1" ht="9" customHeight="1" x14ac:dyDescent="0.2">
      <c r="B7" s="36"/>
      <c r="C7" s="208"/>
      <c r="D7" s="210"/>
      <c r="E7" s="211"/>
      <c r="F7" s="223"/>
      <c r="G7" s="223"/>
      <c r="H7" s="223"/>
      <c r="I7" s="223"/>
      <c r="J7" s="223"/>
      <c r="K7" s="223"/>
      <c r="L7" s="223"/>
      <c r="M7" s="122"/>
    </row>
    <row r="8" spans="1:16" s="31" customFormat="1" ht="16.5" customHeight="1" x14ac:dyDescent="0.2">
      <c r="B8" s="69" t="s">
        <v>0</v>
      </c>
      <c r="C8" s="208"/>
      <c r="D8" s="210"/>
      <c r="E8" s="211"/>
      <c r="F8" s="223"/>
      <c r="G8" s="223"/>
      <c r="H8" s="223"/>
      <c r="I8" s="223"/>
      <c r="J8" s="223"/>
      <c r="K8" s="223"/>
      <c r="L8" s="223"/>
      <c r="M8" s="122"/>
    </row>
    <row r="9" spans="1:16" s="17" customFormat="1" ht="28.5" customHeight="1" x14ac:dyDescent="0.2">
      <c r="B9" s="163" t="s">
        <v>14</v>
      </c>
      <c r="C9" s="137">
        <v>44286</v>
      </c>
      <c r="D9" s="137">
        <v>44377</v>
      </c>
      <c r="E9" s="137">
        <v>44469</v>
      </c>
      <c r="F9" s="137">
        <v>44561</v>
      </c>
      <c r="G9" s="137">
        <v>44651</v>
      </c>
      <c r="H9" s="137">
        <v>44742</v>
      </c>
      <c r="I9" s="137">
        <v>44834</v>
      </c>
      <c r="J9" s="137">
        <v>44926</v>
      </c>
      <c r="K9" s="137">
        <v>45016</v>
      </c>
      <c r="L9" s="580">
        <v>45107</v>
      </c>
      <c r="M9" s="572">
        <v>45199</v>
      </c>
    </row>
    <row r="10" spans="1:16" s="33" customFormat="1" ht="20.25" customHeight="1" x14ac:dyDescent="0.2">
      <c r="B10" s="164" t="s">
        <v>349</v>
      </c>
      <c r="C10" s="71">
        <v>30574.867193419999</v>
      </c>
      <c r="D10" s="71">
        <v>23993.462270999997</v>
      </c>
      <c r="E10" s="63">
        <v>21301.746271</v>
      </c>
      <c r="F10" s="63">
        <v>21593.281212000002</v>
      </c>
      <c r="G10" s="63">
        <v>21787.930113000002</v>
      </c>
      <c r="H10" s="63">
        <v>21824.11515812956</v>
      </c>
      <c r="I10" s="63">
        <v>22594.43847987329</v>
      </c>
      <c r="J10" s="63">
        <v>22421.128692623519</v>
      </c>
      <c r="K10" s="63">
        <v>22095.247841576391</v>
      </c>
      <c r="L10" s="581">
        <v>22702.939940306929</v>
      </c>
      <c r="M10" s="573">
        <v>23077.566657341275</v>
      </c>
    </row>
    <row r="11" spans="1:16" s="33" customFormat="1" ht="20.25" customHeight="1" x14ac:dyDescent="0.2">
      <c r="B11" s="164" t="s">
        <v>409</v>
      </c>
      <c r="C11" s="71"/>
      <c r="D11" s="71"/>
      <c r="E11" s="63"/>
      <c r="F11" s="359">
        <v>1474</v>
      </c>
      <c r="G11" s="359"/>
      <c r="H11" s="359"/>
      <c r="I11" s="359"/>
      <c r="J11" s="359">
        <v>1517.3255670000001</v>
      </c>
      <c r="K11" s="359"/>
      <c r="L11" s="582"/>
      <c r="M11" s="574"/>
      <c r="O11" s="250"/>
    </row>
    <row r="12" spans="1:16" s="33" customFormat="1" ht="20.25" customHeight="1" x14ac:dyDescent="0.2">
      <c r="B12" s="164" t="s">
        <v>350</v>
      </c>
      <c r="C12" s="71"/>
      <c r="D12" s="71">
        <v>2489.667496</v>
      </c>
      <c r="E12" s="63">
        <v>4959.0380000000005</v>
      </c>
      <c r="F12" s="359">
        <v>6236</v>
      </c>
      <c r="G12" s="359">
        <v>6182</v>
      </c>
      <c r="H12" s="359">
        <v>6131.1678308704404</v>
      </c>
      <c r="I12" s="359">
        <v>6108.7819081267126</v>
      </c>
      <c r="J12" s="359">
        <v>6074.4239423764802</v>
      </c>
      <c r="K12" s="359">
        <v>6034.0444514236096</v>
      </c>
      <c r="L12" s="582">
        <v>5951.678018693071</v>
      </c>
      <c r="M12" s="574">
        <v>5900.8357836587293</v>
      </c>
    </row>
    <row r="13" spans="1:16" s="33" customFormat="1" ht="20.25" customHeight="1" x14ac:dyDescent="0.2">
      <c r="B13" s="165" t="s">
        <v>85</v>
      </c>
      <c r="C13" s="118">
        <v>13301.64006</v>
      </c>
      <c r="D13" s="118">
        <v>7697.0326199499996</v>
      </c>
      <c r="E13" s="118">
        <v>7248.3474050000004</v>
      </c>
      <c r="F13" s="360">
        <v>7194.9672380000002</v>
      </c>
      <c r="G13" s="360">
        <v>7114.71612</v>
      </c>
      <c r="H13" s="360">
        <v>6984.7145549999996</v>
      </c>
      <c r="I13" s="360">
        <v>6944.8073199999999</v>
      </c>
      <c r="J13" s="360">
        <v>6879.4438449999998</v>
      </c>
      <c r="K13" s="360">
        <v>6756.4819079999997</v>
      </c>
      <c r="L13" s="583">
        <v>6518.3461340000003</v>
      </c>
      <c r="M13" s="575">
        <v>6475.3956019999996</v>
      </c>
    </row>
    <row r="14" spans="1:16" s="33" customFormat="1" ht="20.25" customHeight="1" x14ac:dyDescent="0.2">
      <c r="B14" s="165" t="s">
        <v>86</v>
      </c>
      <c r="C14" s="118">
        <v>4007.0230329999999</v>
      </c>
      <c r="D14" s="118">
        <v>2459.1639197099998</v>
      </c>
      <c r="E14" s="118">
        <v>2195.9913999999999</v>
      </c>
      <c r="F14" s="360">
        <v>1993.6316239999999</v>
      </c>
      <c r="G14" s="360">
        <v>1981.4769420000002</v>
      </c>
      <c r="H14" s="360">
        <v>1983.9500880000001</v>
      </c>
      <c r="I14" s="360">
        <v>1986.4302869999997</v>
      </c>
      <c r="J14" s="360">
        <v>1895.0359719999999</v>
      </c>
      <c r="K14" s="360">
        <v>1875.5284529999999</v>
      </c>
      <c r="L14" s="583">
        <v>1751.836632</v>
      </c>
      <c r="M14" s="575">
        <v>1781.2178739999999</v>
      </c>
    </row>
    <row r="15" spans="1:16" s="33" customFormat="1" ht="20.25" customHeight="1" x14ac:dyDescent="0.2">
      <c r="B15" s="164" t="s">
        <v>87</v>
      </c>
      <c r="C15" s="71">
        <v>17308.663092999999</v>
      </c>
      <c r="D15" s="71">
        <v>10156.196539659999</v>
      </c>
      <c r="E15" s="71">
        <v>9444.3388049999994</v>
      </c>
      <c r="F15" s="63">
        <v>9188.5988620000007</v>
      </c>
      <c r="G15" s="63">
        <v>9096.1930620000003</v>
      </c>
      <c r="H15" s="63">
        <v>8968.6646430000001</v>
      </c>
      <c r="I15" s="63">
        <v>8931.2376069999991</v>
      </c>
      <c r="J15" s="63">
        <v>8774.4798169999995</v>
      </c>
      <c r="K15" s="63">
        <v>8632.0103610000006</v>
      </c>
      <c r="L15" s="581">
        <v>8270.1827659999999</v>
      </c>
      <c r="M15" s="573">
        <v>8256.6134759999986</v>
      </c>
    </row>
    <row r="16" spans="1:16" s="33" customFormat="1" ht="20.25" customHeight="1" x14ac:dyDescent="0.2">
      <c r="B16" s="164" t="s">
        <v>351</v>
      </c>
      <c r="C16" s="71">
        <v>47883.53</v>
      </c>
      <c r="D16" s="71">
        <v>36639.326000000001</v>
      </c>
      <c r="E16" s="71">
        <v>35705.123</v>
      </c>
      <c r="F16" s="63">
        <v>38491.879999999997</v>
      </c>
      <c r="G16" s="63">
        <v>37066.123</v>
      </c>
      <c r="H16" s="63">
        <v>36923.947999999997</v>
      </c>
      <c r="I16" s="63">
        <v>37634.457999999999</v>
      </c>
      <c r="J16" s="63">
        <v>38787.358</v>
      </c>
      <c r="K16" s="63">
        <v>36761.303</v>
      </c>
      <c r="L16" s="581">
        <v>36924.800725000001</v>
      </c>
      <c r="M16" s="573">
        <v>37235.015916999997</v>
      </c>
      <c r="P16" s="250"/>
    </row>
    <row r="17" spans="2:13" s="33" customFormat="1" ht="20.25" customHeight="1" x14ac:dyDescent="0.2">
      <c r="B17" s="164"/>
      <c r="C17" s="71"/>
      <c r="D17" s="71"/>
      <c r="E17" s="71"/>
      <c r="F17" s="63"/>
      <c r="G17" s="63"/>
      <c r="H17" s="63"/>
      <c r="I17" s="63"/>
      <c r="J17" s="63"/>
      <c r="K17" s="63"/>
      <c r="L17" s="581"/>
      <c r="M17" s="573"/>
    </row>
    <row r="18" spans="2:13" s="33" customFormat="1" ht="20.25" customHeight="1" x14ac:dyDescent="0.2">
      <c r="B18" s="166" t="s">
        <v>24</v>
      </c>
      <c r="C18" s="71"/>
      <c r="D18" s="71"/>
      <c r="E18" s="71"/>
      <c r="F18" s="63"/>
      <c r="G18" s="63"/>
      <c r="H18" s="63"/>
      <c r="I18" s="63"/>
      <c r="J18" s="63"/>
      <c r="K18" s="63"/>
      <c r="L18" s="581"/>
      <c r="M18" s="573"/>
    </row>
    <row r="19" spans="2:13" s="33" customFormat="1" ht="20.25" customHeight="1" x14ac:dyDescent="0.2">
      <c r="B19" s="164" t="s">
        <v>349</v>
      </c>
      <c r="C19" s="128">
        <f t="shared" ref="C19:H20" si="0">+C10/C$16</f>
        <v>0.63852575600462202</v>
      </c>
      <c r="D19" s="128">
        <f t="shared" si="0"/>
        <v>0.65485544878745849</v>
      </c>
      <c r="E19" s="128">
        <f t="shared" si="0"/>
        <v>0.59660195739978261</v>
      </c>
      <c r="F19" s="361">
        <f t="shared" si="0"/>
        <v>0.56098276342958575</v>
      </c>
      <c r="G19" s="361">
        <f t="shared" si="0"/>
        <v>0.58781249155731774</v>
      </c>
      <c r="H19" s="361">
        <f t="shared" si="0"/>
        <v>0.59105584154028068</v>
      </c>
      <c r="I19" s="361">
        <f t="shared" ref="I19:J19" si="1">+I10/I$16</f>
        <v>0.60036572015659928</v>
      </c>
      <c r="J19" s="361">
        <f t="shared" si="1"/>
        <v>0.57805248536452314</v>
      </c>
      <c r="K19" s="361">
        <f t="shared" ref="K19:K25" si="2">+K10/K$16</f>
        <v>0.60104637318150533</v>
      </c>
      <c r="L19" s="584">
        <f t="shared" ref="L19:M21" si="3">+L10/L$16</f>
        <v>0.61484258532330727</v>
      </c>
      <c r="M19" s="576">
        <f t="shared" si="3"/>
        <v>0.61978130233066431</v>
      </c>
    </row>
    <row r="20" spans="2:13" s="33" customFormat="1" ht="20.25" customHeight="1" x14ac:dyDescent="0.2">
      <c r="B20" s="164" t="s">
        <v>409</v>
      </c>
      <c r="C20" s="128">
        <f t="shared" si="0"/>
        <v>0</v>
      </c>
      <c r="D20" s="128">
        <f t="shared" si="0"/>
        <v>0</v>
      </c>
      <c r="E20" s="128">
        <f t="shared" si="0"/>
        <v>0</v>
      </c>
      <c r="F20" s="362">
        <f t="shared" si="0"/>
        <v>3.8293790794318182E-2</v>
      </c>
      <c r="G20" s="362">
        <f t="shared" si="0"/>
        <v>0</v>
      </c>
      <c r="H20" s="362">
        <f t="shared" si="0"/>
        <v>0</v>
      </c>
      <c r="I20" s="362">
        <f t="shared" ref="I20:J20" si="4">+I11/I$16</f>
        <v>0</v>
      </c>
      <c r="J20" s="362">
        <f t="shared" si="4"/>
        <v>3.9119075008924302E-2</v>
      </c>
      <c r="K20" s="362">
        <f t="shared" si="2"/>
        <v>0</v>
      </c>
      <c r="L20" s="585">
        <f t="shared" si="3"/>
        <v>0</v>
      </c>
      <c r="M20" s="577">
        <f t="shared" si="3"/>
        <v>0</v>
      </c>
    </row>
    <row r="21" spans="2:13" s="33" customFormat="1" ht="20.25" customHeight="1" x14ac:dyDescent="0.2">
      <c r="B21" s="164" t="s">
        <v>350</v>
      </c>
      <c r="C21" s="128"/>
      <c r="D21" s="128">
        <f t="shared" ref="D21:H25" si="5">+D12/D$16</f>
        <v>6.7950690359315016E-2</v>
      </c>
      <c r="E21" s="128">
        <f t="shared" si="5"/>
        <v>0.1388886967284779</v>
      </c>
      <c r="F21" s="128">
        <f t="shared" si="5"/>
        <v>0.16200819497514801</v>
      </c>
      <c r="G21" s="362">
        <f t="shared" si="5"/>
        <v>0.16678302179054444</v>
      </c>
      <c r="H21" s="362">
        <f t="shared" si="5"/>
        <v>0.16604854472415684</v>
      </c>
      <c r="I21" s="362">
        <f t="shared" ref="I21:J21" si="6">+I12/I$16</f>
        <v>0.16231884907514046</v>
      </c>
      <c r="J21" s="362">
        <f t="shared" si="6"/>
        <v>0.15660834497612547</v>
      </c>
      <c r="K21" s="362">
        <f t="shared" si="2"/>
        <v>0.16414120172572799</v>
      </c>
      <c r="L21" s="585">
        <f t="shared" si="3"/>
        <v>0.16118375459947917</v>
      </c>
      <c r="M21" s="577">
        <f t="shared" si="3"/>
        <v>0.15847544678944658</v>
      </c>
    </row>
    <row r="22" spans="2:13" s="33" customFormat="1" ht="20.25" customHeight="1" x14ac:dyDescent="0.2">
      <c r="B22" s="165" t="s">
        <v>85</v>
      </c>
      <c r="C22" s="127">
        <f>+C13/C$16</f>
        <v>0.27779155087354673</v>
      </c>
      <c r="D22" s="127">
        <f t="shared" si="5"/>
        <v>0.21007571536523351</v>
      </c>
      <c r="E22" s="127">
        <f t="shared" si="5"/>
        <v>0.20300580969851303</v>
      </c>
      <c r="F22" s="363">
        <f t="shared" si="5"/>
        <v>0.18692168940566167</v>
      </c>
      <c r="G22" s="363">
        <f t="shared" si="5"/>
        <v>0.19194659554763793</v>
      </c>
      <c r="H22" s="363">
        <f t="shared" si="5"/>
        <v>0.18916488981622442</v>
      </c>
      <c r="I22" s="363">
        <f t="shared" ref="I22:J22" si="7">+I13/I$16</f>
        <v>0.18453320943269597</v>
      </c>
      <c r="J22" s="363">
        <f t="shared" si="7"/>
        <v>0.17736304300488834</v>
      </c>
      <c r="K22" s="363">
        <f t="shared" si="2"/>
        <v>0.18379331951318481</v>
      </c>
      <c r="L22" s="586">
        <f t="shared" ref="L22:M22" si="8">+L13/L$16</f>
        <v>0.17653029958227351</v>
      </c>
      <c r="M22" s="578">
        <f t="shared" si="8"/>
        <v>0.17390607852657308</v>
      </c>
    </row>
    <row r="23" spans="2:13" s="33" customFormat="1" ht="20.25" customHeight="1" x14ac:dyDescent="0.2">
      <c r="B23" s="165" t="s">
        <v>86</v>
      </c>
      <c r="C23" s="127">
        <f>+C14/C$16</f>
        <v>8.3682699103428668E-2</v>
      </c>
      <c r="D23" s="127">
        <f t="shared" si="5"/>
        <v>6.7118153857688309E-2</v>
      </c>
      <c r="E23" s="127">
        <f t="shared" si="5"/>
        <v>6.1503538301772548E-2</v>
      </c>
      <c r="F23" s="363">
        <f t="shared" si="5"/>
        <v>5.1793563317769881E-2</v>
      </c>
      <c r="G23" s="363">
        <f t="shared" si="5"/>
        <v>5.3457895825792197E-2</v>
      </c>
      <c r="H23" s="363">
        <f t="shared" si="5"/>
        <v>5.373071395290667E-2</v>
      </c>
      <c r="I23" s="363">
        <f t="shared" ref="I23:J23" si="9">+I14/I$16</f>
        <v>5.2782221202707362E-2</v>
      </c>
      <c r="J23" s="363">
        <f t="shared" si="9"/>
        <v>4.8857052135389059E-2</v>
      </c>
      <c r="K23" s="363">
        <f t="shared" si="2"/>
        <v>5.1019096167510707E-2</v>
      </c>
      <c r="L23" s="586">
        <f t="shared" ref="L23:M23" si="10">+L14/L$16</f>
        <v>4.7443360494940086E-2</v>
      </c>
      <c r="M23" s="578">
        <f t="shared" si="10"/>
        <v>4.7837172353316172E-2</v>
      </c>
    </row>
    <row r="24" spans="2:13" s="33" customFormat="1" ht="20.25" customHeight="1" x14ac:dyDescent="0.2">
      <c r="B24" s="164" t="s">
        <v>352</v>
      </c>
      <c r="C24" s="128">
        <f>+C15/C$16</f>
        <v>0.36147424997697536</v>
      </c>
      <c r="D24" s="128">
        <f t="shared" si="5"/>
        <v>0.27719386922292183</v>
      </c>
      <c r="E24" s="128">
        <f t="shared" si="5"/>
        <v>0.26450934800028553</v>
      </c>
      <c r="F24" s="362">
        <f t="shared" si="5"/>
        <v>0.23871525272343158</v>
      </c>
      <c r="G24" s="362">
        <f t="shared" si="5"/>
        <v>0.24540449137343015</v>
      </c>
      <c r="H24" s="362">
        <f t="shared" si="5"/>
        <v>0.24289560376913111</v>
      </c>
      <c r="I24" s="362">
        <f t="shared" ref="I24:J24" si="11">+I15/I$16</f>
        <v>0.23731543063540331</v>
      </c>
      <c r="J24" s="362">
        <f t="shared" si="11"/>
        <v>0.22622009514027738</v>
      </c>
      <c r="K24" s="362">
        <f t="shared" si="2"/>
        <v>0.23481241568069555</v>
      </c>
      <c r="L24" s="585">
        <f t="shared" ref="L24:M24" si="12">+L15/L$16</f>
        <v>0.22397366007721359</v>
      </c>
      <c r="M24" s="577">
        <f t="shared" si="12"/>
        <v>0.22174325087988922</v>
      </c>
    </row>
    <row r="25" spans="2:13" s="33" customFormat="1" ht="20.25" customHeight="1" x14ac:dyDescent="0.2">
      <c r="B25" s="167" t="s">
        <v>351</v>
      </c>
      <c r="C25" s="135">
        <f>+C16/C$16</f>
        <v>1</v>
      </c>
      <c r="D25" s="135">
        <f t="shared" si="5"/>
        <v>1</v>
      </c>
      <c r="E25" s="135">
        <f t="shared" si="5"/>
        <v>1</v>
      </c>
      <c r="F25" s="364">
        <f t="shared" si="5"/>
        <v>1</v>
      </c>
      <c r="G25" s="364">
        <f t="shared" si="5"/>
        <v>1</v>
      </c>
      <c r="H25" s="364">
        <f t="shared" si="5"/>
        <v>1</v>
      </c>
      <c r="I25" s="364">
        <f t="shared" ref="I25:J25" si="13">+I16/I$16</f>
        <v>1</v>
      </c>
      <c r="J25" s="364">
        <f t="shared" si="13"/>
        <v>1</v>
      </c>
      <c r="K25" s="364">
        <f t="shared" si="2"/>
        <v>1</v>
      </c>
      <c r="L25" s="587">
        <f t="shared" ref="L25:M25" si="14">+L16/L$16</f>
        <v>1</v>
      </c>
      <c r="M25" s="579">
        <f t="shared" si="14"/>
        <v>1</v>
      </c>
    </row>
    <row r="26" spans="2:13" s="33" customFormat="1" ht="10.5" customHeight="1" x14ac:dyDescent="0.2">
      <c r="B26" s="546"/>
      <c r="C26" s="547"/>
      <c r="D26" s="547"/>
      <c r="E26" s="547"/>
      <c r="F26" s="548"/>
      <c r="G26" s="548"/>
      <c r="H26" s="548"/>
      <c r="I26" s="548"/>
      <c r="J26" s="548"/>
      <c r="K26" s="548"/>
      <c r="L26" s="548"/>
      <c r="M26" s="547"/>
    </row>
    <row r="27" spans="2:13" s="38" customFormat="1" ht="8.25" customHeight="1" x14ac:dyDescent="0.2"/>
    <row r="28" spans="2:13" s="17" customFormat="1" ht="28.5" customHeight="1" x14ac:dyDescent="0.2">
      <c r="B28" s="139" t="s">
        <v>175</v>
      </c>
      <c r="C28" s="117">
        <v>44286</v>
      </c>
      <c r="D28" s="117">
        <v>44377</v>
      </c>
      <c r="E28" s="117">
        <v>44469</v>
      </c>
      <c r="F28" s="365">
        <v>44561</v>
      </c>
      <c r="G28" s="365">
        <v>44651</v>
      </c>
      <c r="H28" s="365">
        <v>44742</v>
      </c>
      <c r="I28" s="365">
        <v>44834</v>
      </c>
      <c r="J28" s="365">
        <v>44926</v>
      </c>
      <c r="K28" s="365">
        <v>45016</v>
      </c>
      <c r="L28" s="330">
        <v>45107</v>
      </c>
      <c r="M28" s="367">
        <v>45199</v>
      </c>
    </row>
    <row r="29" spans="2:13" s="38" customFormat="1" ht="20.25" customHeight="1" x14ac:dyDescent="0.2">
      <c r="B29" s="165" t="s">
        <v>176</v>
      </c>
      <c r="C29" s="360">
        <v>615.14099999999996</v>
      </c>
      <c r="D29" s="360">
        <v>581.15599999999995</v>
      </c>
      <c r="E29" s="360">
        <v>613.98900000000003</v>
      </c>
      <c r="F29" s="360">
        <v>591.02700000000004</v>
      </c>
      <c r="G29" s="360">
        <v>968.327</v>
      </c>
      <c r="H29" s="360">
        <v>1899.951</v>
      </c>
      <c r="I29" s="360">
        <v>1799.1310000000001</v>
      </c>
      <c r="J29" s="360">
        <v>1830.4469999999999</v>
      </c>
      <c r="K29" s="360">
        <v>2070.4380000000001</v>
      </c>
      <c r="L29" s="246">
        <v>2278.8969999999999</v>
      </c>
      <c r="M29" s="575">
        <v>2479.9630000000002</v>
      </c>
    </row>
    <row r="30" spans="2:13" s="38" customFormat="1" ht="20.25" customHeight="1" x14ac:dyDescent="0.2">
      <c r="B30" s="165" t="s">
        <v>286</v>
      </c>
      <c r="C30" s="118">
        <v>8876.6220000000012</v>
      </c>
      <c r="D30" s="118">
        <v>11300.169999999998</v>
      </c>
      <c r="E30" s="118">
        <v>11445.515000000001</v>
      </c>
      <c r="F30" s="118">
        <v>11566.152999999998</v>
      </c>
      <c r="G30" s="118">
        <v>10737.202000000001</v>
      </c>
      <c r="H30" s="360">
        <v>11311.723</v>
      </c>
      <c r="I30" s="360">
        <v>11180.667000000001</v>
      </c>
      <c r="J30" s="360">
        <v>11740.755000000001</v>
      </c>
      <c r="K30" s="360">
        <v>12040.933999999999</v>
      </c>
      <c r="L30" s="246">
        <v>12191.841</v>
      </c>
      <c r="M30" s="575">
        <v>12281.029</v>
      </c>
    </row>
    <row r="31" spans="2:13" s="38" customFormat="1" ht="20.25" customHeight="1" x14ac:dyDescent="0.2">
      <c r="B31" s="165" t="s">
        <v>177</v>
      </c>
      <c r="C31" s="360">
        <v>825.69200000000012</v>
      </c>
      <c r="D31" s="360">
        <v>881.44700000000012</v>
      </c>
      <c r="E31" s="360">
        <v>1221.086</v>
      </c>
      <c r="F31" s="360">
        <v>1111.3630000000001</v>
      </c>
      <c r="G31" s="360">
        <v>1020.674</v>
      </c>
      <c r="H31" s="360">
        <v>956.56600000000003</v>
      </c>
      <c r="I31" s="360">
        <v>922.50400000000013</v>
      </c>
      <c r="J31" s="360">
        <v>730.39200000000005</v>
      </c>
      <c r="K31" s="360">
        <v>1013.4450000000001</v>
      </c>
      <c r="L31" s="246">
        <v>1535.3609999999999</v>
      </c>
      <c r="M31" s="575">
        <v>1287.7849999999999</v>
      </c>
    </row>
    <row r="32" spans="2:13" s="38" customFormat="1" ht="20.25" customHeight="1" x14ac:dyDescent="0.2">
      <c r="B32" s="167" t="s">
        <v>353</v>
      </c>
      <c r="C32" s="379">
        <f>SUM(C29:C31)</f>
        <v>10317.455000000002</v>
      </c>
      <c r="D32" s="379">
        <f t="shared" ref="D32:M32" si="15">SUM(D29:D31)</f>
        <v>12762.772999999997</v>
      </c>
      <c r="E32" s="379">
        <f t="shared" si="15"/>
        <v>13280.59</v>
      </c>
      <c r="F32" s="379">
        <f t="shared" si="15"/>
        <v>13268.542999999998</v>
      </c>
      <c r="G32" s="379">
        <f t="shared" si="15"/>
        <v>12726.203000000001</v>
      </c>
      <c r="H32" s="520">
        <f t="shared" si="15"/>
        <v>14168.24</v>
      </c>
      <c r="I32" s="520">
        <f t="shared" si="15"/>
        <v>13902.302000000001</v>
      </c>
      <c r="J32" s="520">
        <f t="shared" si="15"/>
        <v>14301.594000000001</v>
      </c>
      <c r="K32" s="520">
        <f t="shared" si="15"/>
        <v>15124.816999999999</v>
      </c>
      <c r="L32" s="589">
        <f t="shared" si="15"/>
        <v>16006.099000000002</v>
      </c>
      <c r="M32" s="588">
        <f t="shared" si="15"/>
        <v>16048.777</v>
      </c>
    </row>
    <row r="33" spans="2:17" s="38" customFormat="1" ht="9.75" customHeight="1" x14ac:dyDescent="0.2">
      <c r="B33" s="549"/>
      <c r="C33" s="359"/>
      <c r="D33" s="359"/>
      <c r="E33" s="359"/>
      <c r="F33" s="359"/>
      <c r="G33" s="359"/>
      <c r="H33" s="63"/>
      <c r="I33" s="63"/>
      <c r="J33" s="63"/>
      <c r="K33" s="63"/>
      <c r="L33" s="63"/>
      <c r="M33" s="63"/>
    </row>
    <row r="34" spans="2:17" s="38" customFormat="1" ht="13.5" customHeight="1" x14ac:dyDescent="0.2">
      <c r="B34" s="941"/>
      <c r="C34" s="942"/>
      <c r="D34" s="942"/>
      <c r="E34" s="942"/>
      <c r="F34" s="942"/>
      <c r="G34" s="942"/>
      <c r="H34" s="942"/>
      <c r="I34" s="942"/>
      <c r="J34" s="942"/>
      <c r="K34" s="942"/>
      <c r="L34" s="942"/>
      <c r="M34" s="942"/>
    </row>
    <row r="35" spans="2:17" s="17" customFormat="1" ht="28.5" customHeight="1" x14ac:dyDescent="0.2">
      <c r="B35" s="139" t="s">
        <v>13</v>
      </c>
      <c r="C35" s="117">
        <v>44286</v>
      </c>
      <c r="D35" s="117">
        <v>44377</v>
      </c>
      <c r="E35" s="117">
        <v>44469</v>
      </c>
      <c r="F35" s="365">
        <v>44561</v>
      </c>
      <c r="G35" s="365">
        <v>44651</v>
      </c>
      <c r="H35" s="365">
        <v>44742</v>
      </c>
      <c r="I35" s="365">
        <v>44834</v>
      </c>
      <c r="J35" s="365">
        <v>44926</v>
      </c>
      <c r="K35" s="365">
        <v>45016</v>
      </c>
      <c r="L35" s="330">
        <v>45107</v>
      </c>
      <c r="M35" s="367">
        <v>45199</v>
      </c>
    </row>
    <row r="36" spans="2:17" s="33" customFormat="1" ht="20.25" customHeight="1" x14ac:dyDescent="0.2">
      <c r="B36" s="18" t="s">
        <v>22</v>
      </c>
      <c r="C36" s="118">
        <v>21012.871007999998</v>
      </c>
      <c r="D36" s="118">
        <v>21944.782984000001</v>
      </c>
      <c r="E36" s="118">
        <v>22688.746491000002</v>
      </c>
      <c r="F36" s="360">
        <v>24322.086081000001</v>
      </c>
      <c r="G36" s="360">
        <v>24506.804319999999</v>
      </c>
      <c r="H36" s="360">
        <v>24515.160565999999</v>
      </c>
      <c r="I36" s="360">
        <v>24730.949412999998</v>
      </c>
      <c r="J36" s="360">
        <v>25795.141911529998</v>
      </c>
      <c r="K36" s="360">
        <v>24277.181081999999</v>
      </c>
      <c r="L36" s="246">
        <v>23702.750005000002</v>
      </c>
      <c r="M36" s="531">
        <v>23350.971354000001</v>
      </c>
      <c r="P36" s="250"/>
      <c r="Q36" s="250"/>
    </row>
    <row r="37" spans="2:17" s="33" customFormat="1" ht="20.25" customHeight="1" x14ac:dyDescent="0.2">
      <c r="B37" s="34" t="s">
        <v>23</v>
      </c>
      <c r="C37" s="118">
        <v>16217.321679000001</v>
      </c>
      <c r="D37" s="118">
        <v>17497.412084</v>
      </c>
      <c r="E37" s="118">
        <v>18705.921991000003</v>
      </c>
      <c r="F37" s="360">
        <v>20828.721648000002</v>
      </c>
      <c r="G37" s="360">
        <v>20576.458893999999</v>
      </c>
      <c r="H37" s="360">
        <v>22174.075815</v>
      </c>
      <c r="I37" s="360">
        <v>22289.721955000001</v>
      </c>
      <c r="J37" s="360">
        <v>22246.435624269998</v>
      </c>
      <c r="K37" s="360">
        <v>21038.986684</v>
      </c>
      <c r="L37" s="246">
        <v>21165.675943999999</v>
      </c>
      <c r="M37" s="531">
        <v>21446.329603000002</v>
      </c>
      <c r="P37" s="250"/>
      <c r="Q37" s="250"/>
    </row>
    <row r="38" spans="2:17" s="33" customFormat="1" ht="20.25" customHeight="1" x14ac:dyDescent="0.2">
      <c r="B38" s="34" t="s">
        <v>31</v>
      </c>
      <c r="C38" s="118">
        <v>13200.743420000001</v>
      </c>
      <c r="D38" s="118">
        <v>11772.762887000001</v>
      </c>
      <c r="E38" s="118">
        <v>10838.186215</v>
      </c>
      <c r="F38" s="360">
        <v>10291.109302000001</v>
      </c>
      <c r="G38" s="360">
        <v>9770.6764719999992</v>
      </c>
      <c r="H38" s="360">
        <v>9389.8262969999996</v>
      </c>
      <c r="I38" s="360">
        <v>9711.8803659999994</v>
      </c>
      <c r="J38" s="360">
        <v>10330.339848039999</v>
      </c>
      <c r="K38" s="360">
        <v>11857.747619</v>
      </c>
      <c r="L38" s="246">
        <v>13513.061891000001</v>
      </c>
      <c r="M38" s="531">
        <v>13865.773385</v>
      </c>
      <c r="O38" s="249"/>
      <c r="P38" s="250"/>
      <c r="Q38" s="250"/>
    </row>
    <row r="39" spans="2:17" s="33" customFormat="1" ht="20.25" customHeight="1" x14ac:dyDescent="0.2">
      <c r="B39" s="35" t="s">
        <v>354</v>
      </c>
      <c r="C39" s="71">
        <f t="shared" ref="C39:D39" si="16">C36+C37+C38</f>
        <v>50430.936107000001</v>
      </c>
      <c r="D39" s="71">
        <f t="shared" si="16"/>
        <v>51214.957955000005</v>
      </c>
      <c r="E39" s="71">
        <f t="shared" ref="E39" si="17">E36+E37+E38</f>
        <v>52232.85469700001</v>
      </c>
      <c r="F39" s="63">
        <f t="shared" ref="F39:J39" si="18">F36+F37+F38</f>
        <v>55441.917031000004</v>
      </c>
      <c r="G39" s="63">
        <f t="shared" si="18"/>
        <v>54853.939685999998</v>
      </c>
      <c r="H39" s="63">
        <f t="shared" si="18"/>
        <v>56079.062677999995</v>
      </c>
      <c r="I39" s="63">
        <f t="shared" si="18"/>
        <v>56732.551733999993</v>
      </c>
      <c r="J39" s="63">
        <f t="shared" si="18"/>
        <v>58371.917383839995</v>
      </c>
      <c r="K39" s="63">
        <f t="shared" ref="K39" si="19">K36+K37+K38</f>
        <v>57173.915385</v>
      </c>
      <c r="L39" s="244">
        <f>L36+L37+L38</f>
        <v>58381.487840000002</v>
      </c>
      <c r="M39" s="245">
        <f>M36+M37+M38</f>
        <v>58663.074342</v>
      </c>
    </row>
    <row r="40" spans="2:17" s="33" customFormat="1" ht="14.25" customHeight="1" x14ac:dyDescent="0.2">
      <c r="B40" s="35"/>
      <c r="C40" s="71"/>
      <c r="D40" s="71"/>
      <c r="E40" s="71"/>
      <c r="F40" s="63"/>
      <c r="G40" s="63"/>
      <c r="H40" s="63"/>
      <c r="I40" s="63"/>
      <c r="J40" s="63"/>
      <c r="K40" s="63"/>
      <c r="L40" s="244"/>
      <c r="M40" s="245"/>
    </row>
    <row r="41" spans="2:17" s="33" customFormat="1" ht="20.25" customHeight="1" x14ac:dyDescent="0.2">
      <c r="B41" s="37" t="s">
        <v>24</v>
      </c>
      <c r="C41" s="71"/>
      <c r="D41" s="71"/>
      <c r="E41" s="71"/>
      <c r="F41" s="63"/>
      <c r="G41" s="63"/>
      <c r="H41" s="63"/>
      <c r="I41" s="63"/>
      <c r="J41" s="63"/>
      <c r="K41" s="63"/>
      <c r="L41" s="244"/>
      <c r="M41" s="245"/>
    </row>
    <row r="42" spans="2:17" s="33" customFormat="1" ht="20.25" customHeight="1" x14ac:dyDescent="0.2">
      <c r="B42" s="18" t="s">
        <v>22</v>
      </c>
      <c r="C42" s="127">
        <f t="shared" ref="C42:H44" si="20">+C36/C$39</f>
        <v>0.41666628918838039</v>
      </c>
      <c r="D42" s="127">
        <f t="shared" si="20"/>
        <v>0.42848386214202838</v>
      </c>
      <c r="E42" s="127">
        <f t="shared" si="20"/>
        <v>0.43437691894529229</v>
      </c>
      <c r="F42" s="363">
        <f t="shared" si="20"/>
        <v>0.4386948969928377</v>
      </c>
      <c r="G42" s="363">
        <f t="shared" si="20"/>
        <v>0.44676470751752961</v>
      </c>
      <c r="H42" s="363">
        <f t="shared" si="20"/>
        <v>0.43715353636995397</v>
      </c>
      <c r="I42" s="363">
        <f>+I36/I$39</f>
        <v>0.43592168265152553</v>
      </c>
      <c r="J42" s="363">
        <f>+J36/J$39</f>
        <v>0.44191013534654366</v>
      </c>
      <c r="K42" s="363">
        <f>+K36/K$39</f>
        <v>0.42461987986167021</v>
      </c>
      <c r="L42" s="592">
        <f>+L36/L$39</f>
        <v>0.40599770375773281</v>
      </c>
      <c r="M42" s="590">
        <f>+M36/M$39</f>
        <v>0.398052294666081</v>
      </c>
    </row>
    <row r="43" spans="2:17" s="33" customFormat="1" ht="20.25" customHeight="1" x14ac:dyDescent="0.2">
      <c r="B43" s="34" t="s">
        <v>23</v>
      </c>
      <c r="C43" s="127">
        <f t="shared" si="20"/>
        <v>0.32157486913571243</v>
      </c>
      <c r="D43" s="127">
        <f t="shared" si="20"/>
        <v>0.34164651856932288</v>
      </c>
      <c r="E43" s="127">
        <f t="shared" si="20"/>
        <v>0.35812559163216434</v>
      </c>
      <c r="F43" s="363">
        <f t="shared" si="20"/>
        <v>0.37568545179189516</v>
      </c>
      <c r="G43" s="363">
        <f t="shared" si="20"/>
        <v>0.37511360189962056</v>
      </c>
      <c r="H43" s="363">
        <f t="shared" si="20"/>
        <v>0.39540739013990267</v>
      </c>
      <c r="I43" s="363">
        <f t="shared" ref="I43:J43" si="21">+I37/I$39</f>
        <v>0.39289122864610548</v>
      </c>
      <c r="J43" s="363">
        <f t="shared" si="21"/>
        <v>0.38111538255601013</v>
      </c>
      <c r="K43" s="363">
        <f t="shared" ref="K43" si="22">+K37/K$39</f>
        <v>0.36798226153179869</v>
      </c>
      <c r="L43" s="592">
        <f t="shared" ref="L43:M43" si="23">+L37/L$39</f>
        <v>0.36254087943093433</v>
      </c>
      <c r="M43" s="590">
        <f t="shared" si="23"/>
        <v>0.36558482219956617</v>
      </c>
    </row>
    <row r="44" spans="2:17" s="33" customFormat="1" ht="20.25" customHeight="1" x14ac:dyDescent="0.2">
      <c r="B44" s="34" t="s">
        <v>161</v>
      </c>
      <c r="C44" s="127">
        <f t="shared" si="20"/>
        <v>0.26175884167590713</v>
      </c>
      <c r="D44" s="127">
        <f t="shared" si="20"/>
        <v>0.22986961928864869</v>
      </c>
      <c r="E44" s="127">
        <f t="shared" si="20"/>
        <v>0.20749748942254329</v>
      </c>
      <c r="F44" s="363">
        <f t="shared" si="20"/>
        <v>0.18561965121526716</v>
      </c>
      <c r="G44" s="363">
        <f t="shared" si="20"/>
        <v>0.17812169058284985</v>
      </c>
      <c r="H44" s="363">
        <f t="shared" si="20"/>
        <v>0.16743907349014342</v>
      </c>
      <c r="I44" s="363">
        <f t="shared" ref="I44:J44" si="24">+I38/I$39</f>
        <v>0.17118708870236907</v>
      </c>
      <c r="J44" s="363">
        <f t="shared" si="24"/>
        <v>0.17697448209744618</v>
      </c>
      <c r="K44" s="363">
        <f t="shared" ref="K44" si="25">+K38/K$39</f>
        <v>0.20739785860653104</v>
      </c>
      <c r="L44" s="592">
        <f t="shared" ref="L44:M44" si="26">+L38/L$39</f>
        <v>0.23146141681133287</v>
      </c>
      <c r="M44" s="590">
        <f t="shared" si="26"/>
        <v>0.23636288313435286</v>
      </c>
    </row>
    <row r="45" spans="2:17" s="33" customFormat="1" ht="20.25" customHeight="1" x14ac:dyDescent="0.2">
      <c r="B45" s="70" t="s">
        <v>355</v>
      </c>
      <c r="C45" s="131">
        <f t="shared" ref="C45:E45" si="27">+C42+C43+C44</f>
        <v>1</v>
      </c>
      <c r="D45" s="131">
        <f t="shared" si="27"/>
        <v>1</v>
      </c>
      <c r="E45" s="131">
        <f t="shared" si="27"/>
        <v>0.99999999999999989</v>
      </c>
      <c r="F45" s="366">
        <f t="shared" ref="F45" si="28">+F42+F43+F44</f>
        <v>1</v>
      </c>
      <c r="G45" s="366">
        <f t="shared" ref="G45" si="29">+G42+G43+G44</f>
        <v>1</v>
      </c>
      <c r="H45" s="366">
        <f t="shared" ref="H45" si="30">+H42+H43+H44</f>
        <v>1</v>
      </c>
      <c r="I45" s="366">
        <f>+I42+I43+I44</f>
        <v>1</v>
      </c>
      <c r="J45" s="773">
        <f>+J42+J43+J44</f>
        <v>1</v>
      </c>
      <c r="K45" s="773">
        <f>+K42+K43+K44</f>
        <v>1</v>
      </c>
      <c r="L45" s="775">
        <f>+L42+L43+L44</f>
        <v>1</v>
      </c>
      <c r="M45" s="591">
        <f>+M42+M43+M44</f>
        <v>1</v>
      </c>
    </row>
    <row r="46" spans="2:17" s="38" customFormat="1" ht="11.25" customHeight="1" x14ac:dyDescent="0.2"/>
    <row r="47" spans="2:17" s="80" customFormat="1" ht="13.5" customHeight="1" x14ac:dyDescent="0.2">
      <c r="B47" s="81"/>
    </row>
    <row r="48" spans="2:17" ht="21" customHeight="1" x14ac:dyDescent="0.2">
      <c r="B48" s="139" t="s">
        <v>126</v>
      </c>
      <c r="C48" s="117">
        <v>44286</v>
      </c>
      <c r="D48" s="117">
        <v>44377</v>
      </c>
      <c r="E48" s="117">
        <v>44469</v>
      </c>
      <c r="F48" s="365">
        <v>44561</v>
      </c>
      <c r="G48" s="365">
        <v>44651</v>
      </c>
      <c r="H48" s="365">
        <v>44742</v>
      </c>
      <c r="I48" s="365">
        <v>44834</v>
      </c>
      <c r="J48" s="365">
        <v>44926</v>
      </c>
      <c r="K48" s="365">
        <v>45016</v>
      </c>
      <c r="L48" s="330">
        <v>45107</v>
      </c>
      <c r="M48" s="367">
        <v>45199</v>
      </c>
    </row>
    <row r="49" spans="2:13" ht="21" customHeight="1" x14ac:dyDescent="0.2">
      <c r="B49" s="275" t="s">
        <v>127</v>
      </c>
      <c r="C49" s="310">
        <f>C50+C51</f>
        <v>50430.936106999994</v>
      </c>
      <c r="D49" s="310">
        <f t="shared" ref="D49:F49" si="31">D50+D51</f>
        <v>51214.957955000005</v>
      </c>
      <c r="E49" s="310">
        <f t="shared" si="31"/>
        <v>52232.854697000002</v>
      </c>
      <c r="F49" s="310">
        <f t="shared" si="31"/>
        <v>55441.917031000004</v>
      </c>
      <c r="G49" s="359">
        <f t="shared" ref="G49:K49" si="32">G50+G51</f>
        <v>54853.939685999991</v>
      </c>
      <c r="H49" s="359">
        <f t="shared" si="32"/>
        <v>56079.062678000002</v>
      </c>
      <c r="I49" s="359">
        <f t="shared" si="32"/>
        <v>56732.551733999993</v>
      </c>
      <c r="J49" s="359">
        <f t="shared" si="32"/>
        <v>58371.917383839995</v>
      </c>
      <c r="K49" s="359">
        <f t="shared" si="32"/>
        <v>57173.915385</v>
      </c>
      <c r="L49" s="368">
        <f t="shared" ref="L49:M49" si="33">L50+L51</f>
        <v>58381.487840000002</v>
      </c>
      <c r="M49" s="776">
        <f t="shared" si="33"/>
        <v>58663.074342</v>
      </c>
    </row>
    <row r="50" spans="2:13" ht="21" customHeight="1" x14ac:dyDescent="0.2">
      <c r="B50" s="153" t="s">
        <v>128</v>
      </c>
      <c r="C50" s="118">
        <v>37230.192686999995</v>
      </c>
      <c r="D50" s="118">
        <v>39442.195068000001</v>
      </c>
      <c r="E50" s="118">
        <v>41394.668482000001</v>
      </c>
      <c r="F50" s="118">
        <v>45150.807729</v>
      </c>
      <c r="G50" s="360">
        <v>45083.263213999991</v>
      </c>
      <c r="H50" s="360">
        <v>46689.236381000002</v>
      </c>
      <c r="I50" s="360">
        <v>47020.671367999996</v>
      </c>
      <c r="J50" s="360">
        <v>48041.577535799996</v>
      </c>
      <c r="K50" s="360">
        <v>45316.167765999999</v>
      </c>
      <c r="L50" s="246">
        <v>44868.425948999997</v>
      </c>
      <c r="M50" s="531">
        <v>44797.300956999999</v>
      </c>
    </row>
    <row r="51" spans="2:13" ht="21" customHeight="1" x14ac:dyDescent="0.2">
      <c r="B51" s="153" t="s">
        <v>129</v>
      </c>
      <c r="C51" s="118">
        <v>13200.743420000001</v>
      </c>
      <c r="D51" s="118">
        <v>11772.762887000001</v>
      </c>
      <c r="E51" s="118">
        <v>10838.186215</v>
      </c>
      <c r="F51" s="118">
        <v>10291.109302000001</v>
      </c>
      <c r="G51" s="360">
        <v>9770.6764719999992</v>
      </c>
      <c r="H51" s="360">
        <v>9389.8262969999996</v>
      </c>
      <c r="I51" s="360">
        <v>9711.8803659999994</v>
      </c>
      <c r="J51" s="360">
        <v>10330.339848039999</v>
      </c>
      <c r="K51" s="360">
        <v>11857.747619</v>
      </c>
      <c r="L51" s="246">
        <v>13513.061891000001</v>
      </c>
      <c r="M51" s="531">
        <v>13865.773385</v>
      </c>
    </row>
    <row r="52" spans="2:13" ht="21" customHeight="1" x14ac:dyDescent="0.2">
      <c r="B52" s="275" t="s">
        <v>411</v>
      </c>
      <c r="C52" s="310">
        <v>4905.9699999999993</v>
      </c>
      <c r="D52" s="310">
        <v>5340.6430612000004</v>
      </c>
      <c r="E52" s="310">
        <v>5595.3</v>
      </c>
      <c r="F52" s="359">
        <v>5789</v>
      </c>
      <c r="G52" s="63">
        <v>6696.5999999999995</v>
      </c>
      <c r="H52" s="63">
        <v>6516.0999999999995</v>
      </c>
      <c r="I52" s="63">
        <v>6425</v>
      </c>
      <c r="J52" s="63">
        <v>6938.49</v>
      </c>
      <c r="K52" s="63">
        <v>7554</v>
      </c>
      <c r="L52" s="244">
        <v>8220</v>
      </c>
      <c r="M52" s="245">
        <v>8512</v>
      </c>
    </row>
    <row r="53" spans="2:13" ht="21" customHeight="1" x14ac:dyDescent="0.2">
      <c r="B53" s="274" t="s">
        <v>254</v>
      </c>
      <c r="C53" s="311">
        <f t="shared" ref="C53:G53" si="34">C49+C52</f>
        <v>55336.906106999995</v>
      </c>
      <c r="D53" s="311">
        <f t="shared" si="34"/>
        <v>56555.601016200002</v>
      </c>
      <c r="E53" s="311">
        <f t="shared" si="34"/>
        <v>57828.154697000005</v>
      </c>
      <c r="F53" s="311">
        <f t="shared" si="34"/>
        <v>61230.917031000004</v>
      </c>
      <c r="G53" s="521">
        <f t="shared" si="34"/>
        <v>61550.539685999989</v>
      </c>
      <c r="H53" s="521">
        <f>H49+H52</f>
        <v>62595.162678000001</v>
      </c>
      <c r="I53" s="521">
        <f t="shared" ref="I53" si="35">I49+I52</f>
        <v>63157.551733999993</v>
      </c>
      <c r="J53" s="774">
        <f t="shared" ref="J53" si="36">J49+J52</f>
        <v>65310.407383839993</v>
      </c>
      <c r="K53" s="774">
        <f t="shared" ref="K53" si="37">K49+K52</f>
        <v>64727.915385</v>
      </c>
      <c r="L53" s="778">
        <f t="shared" ref="L53:M53" si="38">L49+L52</f>
        <v>66601.487840000002</v>
      </c>
      <c r="M53" s="777">
        <f t="shared" si="38"/>
        <v>67175.074342000007</v>
      </c>
    </row>
    <row r="54" spans="2:13" ht="11.25" customHeight="1" x14ac:dyDescent="0.2">
      <c r="B54" s="937"/>
      <c r="C54" s="937"/>
      <c r="D54" s="937"/>
      <c r="E54" s="937"/>
      <c r="F54" s="937"/>
      <c r="G54" s="937"/>
      <c r="H54" s="937"/>
      <c r="I54" s="937"/>
      <c r="J54" s="937"/>
      <c r="K54" s="937"/>
      <c r="L54" s="937"/>
      <c r="M54" s="937"/>
    </row>
    <row r="55" spans="2:13" ht="21" customHeight="1" x14ac:dyDescent="0.2">
      <c r="B55" s="943" t="s">
        <v>410</v>
      </c>
      <c r="C55" s="944"/>
      <c r="D55" s="944"/>
      <c r="E55" s="944"/>
      <c r="F55" s="944"/>
      <c r="G55" s="944"/>
      <c r="H55" s="944"/>
      <c r="I55" s="944"/>
      <c r="J55" s="944"/>
      <c r="K55" s="944"/>
      <c r="L55" s="944"/>
      <c r="M55" s="944"/>
    </row>
    <row r="56" spans="2:13" ht="21" customHeight="1" x14ac:dyDescent="0.2">
      <c r="B56" s="937" t="s">
        <v>479</v>
      </c>
      <c r="C56" s="937"/>
      <c r="D56" s="937"/>
      <c r="E56" s="937"/>
      <c r="F56" s="937"/>
      <c r="G56" s="937"/>
      <c r="H56" s="937"/>
      <c r="I56" s="937"/>
      <c r="J56" s="937"/>
      <c r="K56" s="937"/>
      <c r="L56" s="937"/>
      <c r="M56" s="937"/>
    </row>
    <row r="57" spans="2:13" ht="18" customHeight="1" x14ac:dyDescent="0.2">
      <c r="B57" s="937" t="s">
        <v>412</v>
      </c>
      <c r="C57" s="937"/>
      <c r="D57" s="937"/>
      <c r="E57" s="937"/>
      <c r="F57" s="937"/>
      <c r="G57" s="937"/>
      <c r="H57" s="937"/>
      <c r="I57" s="937"/>
      <c r="J57" s="937"/>
      <c r="K57" s="937"/>
      <c r="L57" s="937"/>
      <c r="M57" s="937"/>
    </row>
  </sheetData>
  <mergeCells count="6">
    <mergeCell ref="B5:M5"/>
    <mergeCell ref="B54:M54"/>
    <mergeCell ref="B57:M57"/>
    <mergeCell ref="B34:M34"/>
    <mergeCell ref="B55:M55"/>
    <mergeCell ref="B56:M56"/>
  </mergeCells>
  <hyperlinks>
    <hyperlink ref="A14" location="'Piraeus BG'!W780" display="'Piraeus BG'!W780" xr:uid="{00000000-0004-0000-0300-000000000000}"/>
    <hyperlink ref="A10" location="'Piraeus BG'!V780" display="'Piraeus BG'!V780" xr:uid="{00000000-0004-0000-0300-000001000000}"/>
    <hyperlink ref="A23" location="'Piraeus BG'!W780" display="'Piraeus BG'!W780" xr:uid="{00000000-0004-0000-0300-000002000000}"/>
    <hyperlink ref="A19" location="'Piraeus BG'!V780" display="'Piraeus BG'!V780" xr:uid="{00000000-0004-0000-0300-000003000000}"/>
    <hyperlink ref="M2" location="'Cover '!A1" display="Back to Cover" xr:uid="{00000000-0004-0000-0300-000004000000}"/>
  </hyperlinks>
  <printOptions horizontalCentered="1" verticalCentered="1"/>
  <pageMargins left="0" right="0" top="0" bottom="0" header="0" footer="0"/>
  <pageSetup paperSize="8" scale="5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R61"/>
  <sheetViews>
    <sheetView showGridLines="0" view="pageBreakPreview" zoomScale="80" zoomScaleNormal="90" zoomScaleSheetLayoutView="80" workbookViewId="0">
      <pane xSplit="2" ySplit="9" topLeftCell="C10" activePane="bottomRight" state="frozen"/>
      <selection activeCell="M28" sqref="M28"/>
      <selection pane="topRight" activeCell="M28" sqref="M28"/>
      <selection pane="bottomLeft" activeCell="M28" sqref="M28"/>
      <selection pane="bottomRight" activeCell="R11" sqref="R11"/>
    </sheetView>
  </sheetViews>
  <sheetFormatPr defaultColWidth="9.140625" defaultRowHeight="15.75" x14ac:dyDescent="0.2"/>
  <cols>
    <col min="1" max="1" width="2.42578125" style="31" customWidth="1"/>
    <col min="2" max="2" width="80.7109375" style="31" customWidth="1"/>
    <col min="3" max="13" width="15.85546875" style="31" customWidth="1"/>
    <col min="14" max="14" width="2.42578125" style="31" customWidth="1"/>
    <col min="15" max="16384" width="9.140625" style="31"/>
  </cols>
  <sheetData>
    <row r="1" spans="1:16" ht="15.75" customHeight="1" x14ac:dyDescent="0.2"/>
    <row r="2" spans="1:16" ht="15.75" customHeight="1" x14ac:dyDescent="0.2">
      <c r="C2" s="32"/>
      <c r="D2" s="32"/>
      <c r="E2" s="32"/>
      <c r="F2" s="32"/>
      <c r="G2" s="32"/>
      <c r="H2" s="32"/>
      <c r="I2" s="32"/>
      <c r="J2" s="32"/>
      <c r="K2" s="32"/>
      <c r="L2" s="32"/>
      <c r="M2" s="32" t="s">
        <v>21</v>
      </c>
    </row>
    <row r="3" spans="1:16" ht="15.75" customHeight="1" x14ac:dyDescent="0.2"/>
    <row r="4" spans="1:16" ht="15.75" customHeight="1" x14ac:dyDescent="0.2"/>
    <row r="5" spans="1:16" s="75" customFormat="1" ht="26.25" x14ac:dyDescent="0.2">
      <c r="A5" s="74"/>
      <c r="B5" s="938" t="s">
        <v>51</v>
      </c>
      <c r="C5" s="945"/>
      <c r="D5" s="945"/>
      <c r="E5" s="945"/>
      <c r="F5" s="945"/>
      <c r="G5" s="945"/>
      <c r="H5" s="945"/>
      <c r="I5" s="945"/>
      <c r="J5" s="945"/>
      <c r="K5" s="945"/>
      <c r="L5" s="945"/>
      <c r="M5" s="945"/>
    </row>
    <row r="6" spans="1:16" s="77" customFormat="1" ht="9" customHeight="1" x14ac:dyDescent="0.2">
      <c r="A6" s="74"/>
      <c r="B6" s="76"/>
    </row>
    <row r="7" spans="1:16" s="77" customFormat="1" ht="15.75" customHeight="1" x14ac:dyDescent="0.2">
      <c r="A7" s="78"/>
      <c r="B7" s="83"/>
      <c r="P7" s="552"/>
    </row>
    <row r="8" spans="1:16" ht="15" customHeight="1" x14ac:dyDescent="0.2"/>
    <row r="9" spans="1:16" s="606" customFormat="1" ht="33.75" customHeight="1" x14ac:dyDescent="0.2">
      <c r="B9" s="607" t="s">
        <v>0</v>
      </c>
      <c r="C9" s="336" t="s">
        <v>77</v>
      </c>
      <c r="D9" s="336" t="s">
        <v>83</v>
      </c>
      <c r="E9" s="336" t="s">
        <v>88</v>
      </c>
      <c r="F9" s="336" t="s">
        <v>91</v>
      </c>
      <c r="G9" s="336" t="s">
        <v>95</v>
      </c>
      <c r="H9" s="336" t="s">
        <v>163</v>
      </c>
      <c r="I9" s="336" t="s">
        <v>218</v>
      </c>
      <c r="J9" s="336" t="s">
        <v>227</v>
      </c>
      <c r="K9" s="336" t="s">
        <v>250</v>
      </c>
      <c r="L9" s="335" t="s">
        <v>256</v>
      </c>
      <c r="M9" s="332" t="s">
        <v>274</v>
      </c>
    </row>
    <row r="10" spans="1:16" s="608" customFormat="1" ht="24.75" customHeight="1" x14ac:dyDescent="0.2">
      <c r="B10" s="153" t="s">
        <v>1</v>
      </c>
      <c r="C10" s="609">
        <v>365.52100000000002</v>
      </c>
      <c r="D10" s="609">
        <v>406.72900000000004</v>
      </c>
      <c r="E10" s="609">
        <v>319.03500000000003</v>
      </c>
      <c r="F10" s="609">
        <v>318.28100000000001</v>
      </c>
      <c r="G10" s="610">
        <v>285.89500000000004</v>
      </c>
      <c r="H10" s="610">
        <v>305.56799999999998</v>
      </c>
      <c r="I10" s="277">
        <v>330.59200000000004</v>
      </c>
      <c r="J10" s="277">
        <v>430.64700000000005</v>
      </c>
      <c r="K10" s="277">
        <v>446.86599999999999</v>
      </c>
      <c r="L10" s="312">
        <v>487.8</v>
      </c>
      <c r="M10" s="313">
        <v>531.351</v>
      </c>
    </row>
    <row r="11" spans="1:16" s="608" customFormat="1" ht="24.75" customHeight="1" x14ac:dyDescent="0.2">
      <c r="B11" s="153" t="s">
        <v>414</v>
      </c>
      <c r="C11" s="609">
        <v>76.243030609967988</v>
      </c>
      <c r="D11" s="609">
        <v>100.841621750304</v>
      </c>
      <c r="E11" s="609">
        <v>101.80354163689601</v>
      </c>
      <c r="F11" s="609">
        <v>113.08793574800001</v>
      </c>
      <c r="G11" s="610">
        <v>100.74703204926399</v>
      </c>
      <c r="H11" s="610">
        <v>105.097982314544</v>
      </c>
      <c r="I11" s="277">
        <v>107.80430564699201</v>
      </c>
      <c r="J11" s="277">
        <v>107.34067998919998</v>
      </c>
      <c r="K11" s="277">
        <v>104.691</v>
      </c>
      <c r="L11" s="312">
        <v>120.48399999999999</v>
      </c>
      <c r="M11" s="313">
        <v>120.30699999999999</v>
      </c>
    </row>
    <row r="12" spans="1:16" s="608" customFormat="1" ht="24.75" customHeight="1" x14ac:dyDescent="0.2">
      <c r="B12" s="153" t="s">
        <v>415</v>
      </c>
      <c r="C12" s="395">
        <v>6.2146386199999997</v>
      </c>
      <c r="D12" s="395">
        <v>8.8416043300000009</v>
      </c>
      <c r="E12" s="395">
        <v>11.015242742574257</v>
      </c>
      <c r="F12" s="395">
        <v>13.60615482</v>
      </c>
      <c r="G12" s="610">
        <v>11.994999999999999</v>
      </c>
      <c r="H12" s="610">
        <v>15.875</v>
      </c>
      <c r="I12" s="277">
        <v>17.513000000000002</v>
      </c>
      <c r="J12" s="277">
        <v>18.486999999999998</v>
      </c>
      <c r="K12" s="277">
        <v>16.956</v>
      </c>
      <c r="L12" s="312">
        <v>20.922000000000001</v>
      </c>
      <c r="M12" s="313">
        <v>19.670000000000002</v>
      </c>
    </row>
    <row r="13" spans="1:16" s="608" customFormat="1" ht="24.75" customHeight="1" x14ac:dyDescent="0.2">
      <c r="B13" s="154" t="s">
        <v>356</v>
      </c>
      <c r="C13" s="85">
        <f>C11+C10+C12</f>
        <v>447.97866922996803</v>
      </c>
      <c r="D13" s="85">
        <f t="shared" ref="D13:H13" si="0">D11+D10+D12</f>
        <v>516.41222608030409</v>
      </c>
      <c r="E13" s="85">
        <f t="shared" si="0"/>
        <v>431.85378437947026</v>
      </c>
      <c r="F13" s="85">
        <f t="shared" si="0"/>
        <v>444.97509056800004</v>
      </c>
      <c r="G13" s="85">
        <f t="shared" si="0"/>
        <v>398.63703204926401</v>
      </c>
      <c r="H13" s="85">
        <f t="shared" si="0"/>
        <v>426.54098231454395</v>
      </c>
      <c r="I13" s="85">
        <f>I11+I10+I12</f>
        <v>455.90930564699204</v>
      </c>
      <c r="J13" s="85">
        <f>J11+J10+J12</f>
        <v>556.47467998920001</v>
      </c>
      <c r="K13" s="85">
        <f>K11+K10+K12</f>
        <v>568.51300000000003</v>
      </c>
      <c r="L13" s="344">
        <f>L11+L10+L12</f>
        <v>629.20600000000002</v>
      </c>
      <c r="M13" s="339">
        <f>M11+M10+M12</f>
        <v>671.32799999999997</v>
      </c>
    </row>
    <row r="14" spans="1:16" s="608" customFormat="1" ht="24.75" customHeight="1" x14ac:dyDescent="0.2">
      <c r="B14" s="153" t="s">
        <v>469</v>
      </c>
      <c r="C14" s="609">
        <v>403.464</v>
      </c>
      <c r="D14" s="609">
        <v>84.680999999999997</v>
      </c>
      <c r="E14" s="609">
        <v>1.1479999999999997</v>
      </c>
      <c r="F14" s="609">
        <v>192.79499999999999</v>
      </c>
      <c r="G14" s="609">
        <v>585.38900000000001</v>
      </c>
      <c r="H14" s="609">
        <v>67.600000000000009</v>
      </c>
      <c r="I14" s="609">
        <v>64.161000000000001</v>
      </c>
      <c r="J14" s="609">
        <v>-3.6300000000000008</v>
      </c>
      <c r="K14" s="609">
        <v>9.7540000000000013</v>
      </c>
      <c r="L14" s="609">
        <v>29.241999999999997</v>
      </c>
      <c r="M14" s="920">
        <v>-7.8949999999999996</v>
      </c>
    </row>
    <row r="15" spans="1:16" s="608" customFormat="1" ht="24.75" customHeight="1" x14ac:dyDescent="0.2">
      <c r="B15" s="153" t="s">
        <v>427</v>
      </c>
      <c r="C15" s="609">
        <v>7.9343613800000004</v>
      </c>
      <c r="D15" s="609">
        <v>4.3993956699999996</v>
      </c>
      <c r="E15" s="609">
        <v>-1.5293951699999997</v>
      </c>
      <c r="F15" s="609">
        <v>-11.156154820000001</v>
      </c>
      <c r="G15" s="610">
        <v>-2.3609999999999998</v>
      </c>
      <c r="H15" s="610">
        <v>16.709</v>
      </c>
      <c r="I15" s="277">
        <v>-6.8050000000000006</v>
      </c>
      <c r="J15" s="277">
        <v>23.198</v>
      </c>
      <c r="K15" s="277">
        <v>-1.48</v>
      </c>
      <c r="L15" s="312">
        <v>3.5300000000000002</v>
      </c>
      <c r="M15" s="313">
        <v>-10.244999999999999</v>
      </c>
    </row>
    <row r="16" spans="1:16" s="608" customFormat="1" ht="24.75" customHeight="1" x14ac:dyDescent="0.2">
      <c r="B16" s="154" t="s">
        <v>357</v>
      </c>
      <c r="C16" s="85">
        <f>C15+C10+C11+C12+C14</f>
        <v>859.37703060996796</v>
      </c>
      <c r="D16" s="85">
        <f t="shared" ref="D16:K16" si="1">D15+D10+D11+D12+D14</f>
        <v>605.49262175030412</v>
      </c>
      <c r="E16" s="85">
        <f t="shared" si="1"/>
        <v>431.47238920947029</v>
      </c>
      <c r="F16" s="85">
        <f t="shared" si="1"/>
        <v>626.61393574800002</v>
      </c>
      <c r="G16" s="85">
        <f t="shared" si="1"/>
        <v>981.66503204926403</v>
      </c>
      <c r="H16" s="85">
        <f t="shared" si="1"/>
        <v>510.84998231454404</v>
      </c>
      <c r="I16" s="85">
        <f t="shared" si="1"/>
        <v>513.26530564699203</v>
      </c>
      <c r="J16" s="85">
        <f t="shared" si="1"/>
        <v>576.0426799892</v>
      </c>
      <c r="K16" s="85">
        <f t="shared" si="1"/>
        <v>576.78700000000003</v>
      </c>
      <c r="L16" s="344">
        <f>L15+L10+L11+L12+L14</f>
        <v>661.97799999999995</v>
      </c>
      <c r="M16" s="339">
        <f>M15+M10+M11+M12+M14</f>
        <v>653.18799999999999</v>
      </c>
    </row>
    <row r="17" spans="2:17" s="608" customFormat="1" ht="24.75" customHeight="1" x14ac:dyDescent="0.2">
      <c r="B17" s="436" t="s">
        <v>470</v>
      </c>
      <c r="C17" s="623">
        <v>7.4903107700000007</v>
      </c>
      <c r="D17" s="623">
        <v>9.1591755400000032</v>
      </c>
      <c r="E17" s="623">
        <v>11.095469029999999</v>
      </c>
      <c r="F17" s="623">
        <v>10.953438179999981</v>
      </c>
      <c r="G17" s="623">
        <v>7.0227117500000009</v>
      </c>
      <c r="H17" s="623">
        <v>-0.59334710000000002</v>
      </c>
      <c r="I17" s="623">
        <v>-0.10188483999999999</v>
      </c>
      <c r="J17" s="623">
        <v>-0.67009458999999993</v>
      </c>
      <c r="K17" s="623">
        <v>0</v>
      </c>
      <c r="L17" s="624">
        <v>0</v>
      </c>
      <c r="M17" s="625">
        <v>0</v>
      </c>
    </row>
    <row r="18" spans="2:17" s="608" customFormat="1" ht="24.75" customHeight="1" x14ac:dyDescent="0.2">
      <c r="B18" s="436" t="s">
        <v>230</v>
      </c>
      <c r="C18" s="611">
        <v>387.2</v>
      </c>
      <c r="D18" s="611">
        <v>91.383966000000001</v>
      </c>
      <c r="E18" s="611">
        <v>0</v>
      </c>
      <c r="F18" s="611">
        <v>184.5</v>
      </c>
      <c r="G18" s="611">
        <v>510.7</v>
      </c>
      <c r="H18" s="611">
        <v>109.277</v>
      </c>
      <c r="I18" s="696">
        <v>52</v>
      </c>
      <c r="J18" s="696">
        <v>0</v>
      </c>
      <c r="K18" s="696">
        <v>0</v>
      </c>
      <c r="L18" s="438">
        <v>0</v>
      </c>
      <c r="M18" s="439">
        <v>0</v>
      </c>
    </row>
    <row r="19" spans="2:17" s="608" customFormat="1" ht="24.75" customHeight="1" x14ac:dyDescent="0.2">
      <c r="B19" s="153" t="s">
        <v>2</v>
      </c>
      <c r="C19" s="609">
        <v>96.846999999999994</v>
      </c>
      <c r="D19" s="609">
        <v>136.47999999999999</v>
      </c>
      <c r="E19" s="609">
        <v>95.391999999999996</v>
      </c>
      <c r="F19" s="609">
        <v>75.997</v>
      </c>
      <c r="G19" s="610">
        <v>91.200999999999993</v>
      </c>
      <c r="H19" s="610">
        <v>101.155</v>
      </c>
      <c r="I19" s="277">
        <v>121.26600000000001</v>
      </c>
      <c r="J19" s="277">
        <v>131.95599999999999</v>
      </c>
      <c r="K19" s="277">
        <v>96.718999999999994</v>
      </c>
      <c r="L19" s="312">
        <v>96.57</v>
      </c>
      <c r="M19" s="313">
        <v>80.358000000000004</v>
      </c>
    </row>
    <row r="20" spans="2:17" s="608" customFormat="1" ht="24.75" customHeight="1" x14ac:dyDescent="0.2">
      <c r="B20" s="153" t="s">
        <v>416</v>
      </c>
      <c r="C20" s="609">
        <v>87.366761700696301</v>
      </c>
      <c r="D20" s="609">
        <v>88.471742147641876</v>
      </c>
      <c r="E20" s="609">
        <v>97.352191055886195</v>
      </c>
      <c r="F20" s="609">
        <v>103.95131694971666</v>
      </c>
      <c r="G20" s="610">
        <v>81.31903204926401</v>
      </c>
      <c r="H20" s="610">
        <v>87.151982314544</v>
      </c>
      <c r="I20" s="277">
        <v>85.185305646991992</v>
      </c>
      <c r="J20" s="277">
        <v>83.882679989199985</v>
      </c>
      <c r="K20" s="277">
        <v>83.156999999999996</v>
      </c>
      <c r="L20" s="312">
        <v>78.429000000000002</v>
      </c>
      <c r="M20" s="313">
        <v>89.208000000000013</v>
      </c>
    </row>
    <row r="21" spans="2:17" s="612" customFormat="1" ht="24.75" customHeight="1" x14ac:dyDescent="0.2">
      <c r="B21" s="153" t="s">
        <v>8</v>
      </c>
      <c r="C21" s="609">
        <v>27.59</v>
      </c>
      <c r="D21" s="609">
        <v>27.920999999999999</v>
      </c>
      <c r="E21" s="609">
        <v>27.63</v>
      </c>
      <c r="F21" s="609">
        <v>27.091000000000001</v>
      </c>
      <c r="G21" s="610">
        <v>29.591999999999999</v>
      </c>
      <c r="H21" s="610">
        <v>24.890999999999998</v>
      </c>
      <c r="I21" s="277">
        <v>25.213000000000001</v>
      </c>
      <c r="J21" s="277">
        <v>25.965</v>
      </c>
      <c r="K21" s="277">
        <v>26.146999999999998</v>
      </c>
      <c r="L21" s="312">
        <v>26.212</v>
      </c>
      <c r="M21" s="313">
        <v>26.484999999999999</v>
      </c>
    </row>
    <row r="22" spans="2:17" s="608" customFormat="1" ht="24.75" customHeight="1" x14ac:dyDescent="0.2">
      <c r="B22" s="154" t="s">
        <v>358</v>
      </c>
      <c r="C22" s="84">
        <f t="shared" ref="C22:E22" si="2">C21+C20+C19</f>
        <v>211.8037617006963</v>
      </c>
      <c r="D22" s="84">
        <f t="shared" si="2"/>
        <v>252.87274214764187</v>
      </c>
      <c r="E22" s="84">
        <f t="shared" si="2"/>
        <v>220.37419105588617</v>
      </c>
      <c r="F22" s="84">
        <f t="shared" ref="F22:J22" si="3">F21+F20+F19</f>
        <v>207.03931694971664</v>
      </c>
      <c r="G22" s="84">
        <f t="shared" si="3"/>
        <v>202.112032049264</v>
      </c>
      <c r="H22" s="84">
        <f t="shared" si="3"/>
        <v>213.19798231454399</v>
      </c>
      <c r="I22" s="84">
        <f t="shared" si="3"/>
        <v>231.66430564699198</v>
      </c>
      <c r="J22" s="84">
        <f t="shared" si="3"/>
        <v>241.80367998919996</v>
      </c>
      <c r="K22" s="84">
        <f t="shared" ref="K22" si="4">K21+K20+K19</f>
        <v>206.023</v>
      </c>
      <c r="L22" s="353">
        <f t="shared" ref="L22" si="5">L21+L20+L19</f>
        <v>201.21100000000001</v>
      </c>
      <c r="M22" s="351">
        <f>M21+M20+M19</f>
        <v>196.05100000000002</v>
      </c>
      <c r="O22" s="613"/>
    </row>
    <row r="23" spans="2:17" s="608" customFormat="1" ht="24.75" customHeight="1" x14ac:dyDescent="0.2">
      <c r="B23" s="440" t="s">
        <v>204</v>
      </c>
      <c r="C23" s="437">
        <v>0</v>
      </c>
      <c r="D23" s="437">
        <v>40</v>
      </c>
      <c r="E23" s="437">
        <v>0</v>
      </c>
      <c r="F23" s="437">
        <v>-15.199000000000002</v>
      </c>
      <c r="G23" s="437">
        <v>4.1472708799999998</v>
      </c>
      <c r="H23" s="437">
        <v>6.6</v>
      </c>
      <c r="I23" s="437">
        <v>19.877649999999999</v>
      </c>
      <c r="J23" s="437">
        <v>30.314</v>
      </c>
      <c r="K23" s="437">
        <v>3.1720000000000002</v>
      </c>
      <c r="L23" s="441">
        <v>2.1745070000000002</v>
      </c>
      <c r="M23" s="543">
        <v>1.5662459999999996</v>
      </c>
    </row>
    <row r="24" spans="2:17" s="608" customFormat="1" ht="11.25" customHeight="1" x14ac:dyDescent="0.25">
      <c r="B24" s="156"/>
      <c r="C24" s="86"/>
      <c r="D24" s="86"/>
      <c r="E24" s="86"/>
      <c r="F24" s="86"/>
      <c r="G24" s="86"/>
      <c r="H24" s="86"/>
      <c r="I24" s="86"/>
      <c r="J24" s="86"/>
      <c r="K24" s="86"/>
      <c r="L24" s="571"/>
      <c r="M24" s="347"/>
    </row>
    <row r="25" spans="2:17" s="608" customFormat="1" ht="24.75" customHeight="1" x14ac:dyDescent="0.2">
      <c r="B25" s="157" t="s">
        <v>359</v>
      </c>
      <c r="C25" s="87">
        <v>647.57326890927175</v>
      </c>
      <c r="D25" s="87">
        <v>352.61987960266214</v>
      </c>
      <c r="E25" s="87">
        <v>211.09819815358412</v>
      </c>
      <c r="F25" s="87">
        <v>419.57461879828338</v>
      </c>
      <c r="G25" s="87">
        <v>779.55300000000011</v>
      </c>
      <c r="H25" s="87">
        <v>297.65199999999999</v>
      </c>
      <c r="I25" s="87">
        <v>281.601</v>
      </c>
      <c r="J25" s="87">
        <v>334.23900000000003</v>
      </c>
      <c r="K25" s="87">
        <v>370.76400000000007</v>
      </c>
      <c r="L25" s="354">
        <v>460.76699999999994</v>
      </c>
      <c r="M25" s="348">
        <v>457.13700000000006</v>
      </c>
    </row>
    <row r="26" spans="2:17" s="608" customFormat="1" ht="13.5" customHeight="1" x14ac:dyDescent="0.25">
      <c r="B26" s="158"/>
      <c r="C26" s="88"/>
      <c r="D26" s="88"/>
      <c r="E26" s="88"/>
      <c r="F26" s="88"/>
      <c r="G26" s="88"/>
      <c r="H26" s="88"/>
      <c r="I26" s="88"/>
      <c r="J26" s="88"/>
      <c r="K26" s="88"/>
      <c r="L26" s="770"/>
      <c r="M26" s="349"/>
    </row>
    <row r="27" spans="2:17" s="608" customFormat="1" ht="24.75" customHeight="1" x14ac:dyDescent="0.25">
      <c r="B27" s="159" t="s">
        <v>3</v>
      </c>
      <c r="C27" s="609">
        <v>-6.069</v>
      </c>
      <c r="D27" s="609">
        <v>-0.92500000000000004</v>
      </c>
      <c r="E27" s="609">
        <v>8.5850000000000009</v>
      </c>
      <c r="F27" s="609">
        <v>16.565999999999999</v>
      </c>
      <c r="G27" s="610">
        <v>-4.4249999999999998</v>
      </c>
      <c r="H27" s="610">
        <v>-4.9989999999999997</v>
      </c>
      <c r="I27" s="277">
        <v>0.27700000000000002</v>
      </c>
      <c r="J27" s="769">
        <v>38.04</v>
      </c>
      <c r="K27" s="277">
        <v>-10.638999999999999</v>
      </c>
      <c r="L27" s="312">
        <v>-11.848000000000001</v>
      </c>
      <c r="M27" s="313">
        <v>15.715</v>
      </c>
    </row>
    <row r="28" spans="2:17" s="608" customFormat="1" ht="24.75" customHeight="1" x14ac:dyDescent="0.2">
      <c r="B28" s="629" t="s">
        <v>230</v>
      </c>
      <c r="C28" s="630">
        <v>0</v>
      </c>
      <c r="D28" s="631">
        <v>0</v>
      </c>
      <c r="E28" s="631">
        <v>0</v>
      </c>
      <c r="F28" s="631">
        <v>0</v>
      </c>
      <c r="G28" s="631">
        <v>0</v>
      </c>
      <c r="H28" s="631">
        <v>0</v>
      </c>
      <c r="I28" s="631">
        <v>0</v>
      </c>
      <c r="J28" s="767">
        <v>25.8</v>
      </c>
      <c r="K28" s="767">
        <v>0</v>
      </c>
      <c r="L28" s="701">
        <v>0</v>
      </c>
      <c r="M28" s="699">
        <v>0</v>
      </c>
    </row>
    <row r="29" spans="2:17" s="614" customFormat="1" ht="12" customHeight="1" x14ac:dyDescent="0.25">
      <c r="B29" s="158"/>
      <c r="C29" s="89"/>
      <c r="D29" s="89"/>
      <c r="E29" s="89"/>
      <c r="F29" s="89"/>
      <c r="G29" s="89"/>
      <c r="H29" s="89"/>
      <c r="I29" s="89"/>
      <c r="J29" s="89"/>
      <c r="K29" s="89"/>
      <c r="L29" s="355"/>
      <c r="M29" s="225"/>
    </row>
    <row r="30" spans="2:17" s="80" customFormat="1" ht="24.75" customHeight="1" x14ac:dyDescent="0.2">
      <c r="B30" s="153" t="s">
        <v>30</v>
      </c>
      <c r="C30" s="609">
        <v>974.67952506570805</v>
      </c>
      <c r="D30" s="609">
        <v>2292.1150853035065</v>
      </c>
      <c r="E30" s="609">
        <v>818.18086084873926</v>
      </c>
      <c r="F30" s="609">
        <v>199.03071271069032</v>
      </c>
      <c r="G30" s="610">
        <v>229.72899999999998</v>
      </c>
      <c r="H30" s="610">
        <v>190.24100000000001</v>
      </c>
      <c r="I30" s="277">
        <v>91.522999999999996</v>
      </c>
      <c r="J30" s="277">
        <v>103.126</v>
      </c>
      <c r="K30" s="277">
        <v>95.394000000000005</v>
      </c>
      <c r="L30" s="312">
        <v>283.02799999999996</v>
      </c>
      <c r="M30" s="313">
        <v>75.676999999999992</v>
      </c>
    </row>
    <row r="31" spans="2:17" s="80" customFormat="1" ht="24.75" customHeight="1" x14ac:dyDescent="0.2">
      <c r="B31" s="209" t="s">
        <v>98</v>
      </c>
      <c r="C31" s="615">
        <v>102.84829006570808</v>
      </c>
      <c r="D31" s="615">
        <v>60.479000303506474</v>
      </c>
      <c r="E31" s="615">
        <v>50.648999848739258</v>
      </c>
      <c r="F31" s="615">
        <v>43.438999710690339</v>
      </c>
      <c r="G31" s="616">
        <v>44.036208999999992</v>
      </c>
      <c r="H31" s="616">
        <v>45.59800000000002</v>
      </c>
      <c r="I31" s="697">
        <v>44.684999999999988</v>
      </c>
      <c r="J31" s="697">
        <v>17.424000000000014</v>
      </c>
      <c r="K31" s="697">
        <v>35.677000000000007</v>
      </c>
      <c r="L31" s="356">
        <v>68.966475719999991</v>
      </c>
      <c r="M31" s="350">
        <v>47.152999999999992</v>
      </c>
      <c r="Q31" s="253"/>
    </row>
    <row r="32" spans="2:17" s="80" customFormat="1" ht="24.75" customHeight="1" x14ac:dyDescent="0.2">
      <c r="B32" s="209" t="s">
        <v>471</v>
      </c>
      <c r="C32" s="615">
        <v>829.04670999999996</v>
      </c>
      <c r="D32" s="615">
        <v>2185</v>
      </c>
      <c r="E32" s="615">
        <v>734</v>
      </c>
      <c r="F32" s="615">
        <v>126</v>
      </c>
      <c r="G32" s="616">
        <v>151.6</v>
      </c>
      <c r="H32" s="616">
        <v>117.35</v>
      </c>
      <c r="I32" s="697">
        <v>18.381</v>
      </c>
      <c r="J32" s="697">
        <v>33.1</v>
      </c>
      <c r="K32" s="697">
        <v>20.760999999999999</v>
      </c>
      <c r="L32" s="356">
        <v>180.79911400999998</v>
      </c>
      <c r="M32" s="350">
        <v>0</v>
      </c>
    </row>
    <row r="33" spans="2:18" s="80" customFormat="1" ht="24.75" customHeight="1" x14ac:dyDescent="0.2">
      <c r="B33" s="209" t="s">
        <v>472</v>
      </c>
      <c r="C33" s="615">
        <v>42.784525000000002</v>
      </c>
      <c r="D33" s="615">
        <v>46.636085000000001</v>
      </c>
      <c r="E33" s="615">
        <v>33.531860999999999</v>
      </c>
      <c r="F33" s="615">
        <v>29.591712999999984</v>
      </c>
      <c r="G33" s="616">
        <v>34.092790999999998</v>
      </c>
      <c r="H33" s="616">
        <v>27.292999999999999</v>
      </c>
      <c r="I33" s="697">
        <v>28.457000000000001</v>
      </c>
      <c r="J33" s="697">
        <v>52.601999999999997</v>
      </c>
      <c r="K33" s="697">
        <v>38.956000000000003</v>
      </c>
      <c r="L33" s="356">
        <v>33.262410270000004</v>
      </c>
      <c r="M33" s="350">
        <v>28.524000000000001</v>
      </c>
    </row>
    <row r="34" spans="2:18" s="80" customFormat="1" ht="24.75" customHeight="1" x14ac:dyDescent="0.2">
      <c r="B34" s="153" t="s">
        <v>430</v>
      </c>
      <c r="C34" s="609">
        <v>24.397000000000002</v>
      </c>
      <c r="D34" s="609">
        <v>39.49</v>
      </c>
      <c r="E34" s="609">
        <v>4.7070000000000007</v>
      </c>
      <c r="F34" s="609">
        <v>-12.442</v>
      </c>
      <c r="G34" s="610">
        <v>3.3130000000000011</v>
      </c>
      <c r="H34" s="610">
        <v>9.418000000000001</v>
      </c>
      <c r="I34" s="277">
        <v>19.056999999999999</v>
      </c>
      <c r="J34" s="277">
        <v>38.635000000000005</v>
      </c>
      <c r="K34" s="277">
        <v>10.359000000000002</v>
      </c>
      <c r="L34" s="312">
        <v>32.141000000000005</v>
      </c>
      <c r="M34" s="313">
        <v>17.818999999999996</v>
      </c>
    </row>
    <row r="35" spans="2:18" s="80" customFormat="1" ht="24.75" customHeight="1" x14ac:dyDescent="0.2">
      <c r="B35" s="154" t="s">
        <v>4</v>
      </c>
      <c r="C35" s="84">
        <v>-357.57225615643625</v>
      </c>
      <c r="D35" s="84">
        <v>-1979.9102057008442</v>
      </c>
      <c r="E35" s="84">
        <v>-603.20466269515509</v>
      </c>
      <c r="F35" s="84">
        <v>249.55190608759304</v>
      </c>
      <c r="G35" s="84">
        <v>542.08600000000013</v>
      </c>
      <c r="H35" s="84">
        <v>92.993999999999943</v>
      </c>
      <c r="I35" s="84">
        <v>171.298</v>
      </c>
      <c r="J35" s="84">
        <v>230.51800000000003</v>
      </c>
      <c r="K35" s="84">
        <v>254.37200000000004</v>
      </c>
      <c r="L35" s="353">
        <v>133.74999999999994</v>
      </c>
      <c r="M35" s="351">
        <v>379.35600000000005</v>
      </c>
      <c r="P35" s="559"/>
      <c r="R35" s="559"/>
    </row>
    <row r="36" spans="2:18" s="617" customFormat="1" ht="24.75" customHeight="1" x14ac:dyDescent="0.2">
      <c r="B36" s="153" t="s">
        <v>7</v>
      </c>
      <c r="C36" s="609">
        <v>46.384</v>
      </c>
      <c r="D36" s="609">
        <v>64.501000000000005</v>
      </c>
      <c r="E36" s="609">
        <v>32.261000000000003</v>
      </c>
      <c r="F36" s="609">
        <v>173.16</v>
      </c>
      <c r="G36" s="610">
        <v>22.04</v>
      </c>
      <c r="H36" s="610">
        <v>0.28899999999999998</v>
      </c>
      <c r="I36" s="277">
        <v>55.845999999999997</v>
      </c>
      <c r="J36" s="277">
        <v>61.52</v>
      </c>
      <c r="K36" s="277">
        <v>75.64</v>
      </c>
      <c r="L36" s="312">
        <v>14.627000000000001</v>
      </c>
      <c r="M36" s="313">
        <v>102.38800000000001</v>
      </c>
      <c r="R36" s="806"/>
    </row>
    <row r="37" spans="2:18" s="617" customFormat="1" ht="24.75" customHeight="1" x14ac:dyDescent="0.2">
      <c r="B37" s="807" t="s">
        <v>473</v>
      </c>
      <c r="C37" s="808">
        <v>0</v>
      </c>
      <c r="D37" s="808">
        <v>0</v>
      </c>
      <c r="E37" s="808">
        <v>0</v>
      </c>
      <c r="F37" s="808">
        <v>0</v>
      </c>
      <c r="G37" s="808">
        <v>46.828745373799997</v>
      </c>
      <c r="H37" s="808">
        <v>28.147690246</v>
      </c>
      <c r="I37" s="808">
        <v>40.991219058400013</v>
      </c>
      <c r="J37" s="808">
        <v>69.888544593399999</v>
      </c>
      <c r="K37" s="808">
        <v>75.64</v>
      </c>
      <c r="L37" s="847">
        <v>79.180905252499997</v>
      </c>
      <c r="M37" s="844">
        <v>102.38800000000001</v>
      </c>
    </row>
    <row r="38" spans="2:18" s="617" customFormat="1" ht="24.75" customHeight="1" x14ac:dyDescent="0.2">
      <c r="B38" s="160" t="s">
        <v>360</v>
      </c>
      <c r="C38" s="609">
        <v>8.7999999999999995E-2</v>
      </c>
      <c r="D38" s="609">
        <v>0.95099999999999996</v>
      </c>
      <c r="E38" s="609">
        <v>-9.6000000000000002E-2</v>
      </c>
      <c r="F38" s="609">
        <v>-1.512</v>
      </c>
      <c r="G38" s="610">
        <v>-1.2170000000000001</v>
      </c>
      <c r="H38" s="610">
        <v>0.24299999999999999</v>
      </c>
      <c r="I38" s="277">
        <v>-0.19400000000000001</v>
      </c>
      <c r="J38" s="277">
        <v>-0.56399999999999995</v>
      </c>
      <c r="K38" s="277">
        <v>-1.0289999999999999</v>
      </c>
      <c r="L38" s="312">
        <v>-0.56000000000000005</v>
      </c>
      <c r="M38" s="313">
        <v>-0.41099999999999998</v>
      </c>
    </row>
    <row r="39" spans="2:18" s="612" customFormat="1" ht="24.75" customHeight="1" x14ac:dyDescent="0.2">
      <c r="B39" s="161" t="s">
        <v>361</v>
      </c>
      <c r="C39" s="90">
        <v>-404.04425615643629</v>
      </c>
      <c r="D39" s="90">
        <v>-2045.3622057008442</v>
      </c>
      <c r="E39" s="90">
        <v>-635.36966269515506</v>
      </c>
      <c r="F39" s="90">
        <v>77.903906087593043</v>
      </c>
      <c r="G39" s="90">
        <v>521.26300000000015</v>
      </c>
      <c r="H39" s="90">
        <v>92.461999999999946</v>
      </c>
      <c r="I39" s="90">
        <v>115.646</v>
      </c>
      <c r="J39" s="90">
        <v>169.56200000000001</v>
      </c>
      <c r="K39" s="90">
        <v>179.76100000000002</v>
      </c>
      <c r="L39" s="357">
        <v>119.68299999999995</v>
      </c>
      <c r="M39" s="352">
        <v>277.37900000000008</v>
      </c>
    </row>
    <row r="40" spans="2:18" s="612" customFormat="1" ht="24.75" customHeight="1" x14ac:dyDescent="0.2">
      <c r="B40" s="447" t="s">
        <v>208</v>
      </c>
      <c r="C40" s="618">
        <v>-0.32314047323394712</v>
      </c>
      <c r="D40" s="618">
        <v>-1.6374199259547002</v>
      </c>
      <c r="E40" s="618">
        <v>-0.51864336393849564</v>
      </c>
      <c r="F40" s="618">
        <v>5.1807904826687103E-2</v>
      </c>
      <c r="G40" s="618">
        <v>0.40639101109898507</v>
      </c>
      <c r="H40" s="618">
        <v>6.345095947864586E-2</v>
      </c>
      <c r="I40" s="698">
        <v>8.1992712312165275E-2</v>
      </c>
      <c r="J40" s="698">
        <v>0.12511284454870905</v>
      </c>
      <c r="K40" s="698">
        <v>0.13326964825596682</v>
      </c>
      <c r="L40" s="448">
        <v>8.522136380409577E-2</v>
      </c>
      <c r="M40" s="449">
        <v>0.21134111254610205</v>
      </c>
    </row>
    <row r="41" spans="2:18" s="612" customFormat="1" ht="24.75" customHeight="1" x14ac:dyDescent="0.2">
      <c r="B41" s="446" t="s">
        <v>362</v>
      </c>
      <c r="C41" s="345">
        <v>-2.609</v>
      </c>
      <c r="D41" s="345">
        <v>0.80200000000000005</v>
      </c>
      <c r="E41" s="345">
        <v>-3.2650000000000001</v>
      </c>
      <c r="F41" s="345">
        <v>-1.986</v>
      </c>
      <c r="G41" s="345">
        <v>-0.84699999999999998</v>
      </c>
      <c r="H41" s="345">
        <v>-0.48899999999999999</v>
      </c>
      <c r="I41" s="345">
        <v>52.72</v>
      </c>
      <c r="J41" s="345">
        <v>-0.82199999999999995</v>
      </c>
      <c r="K41" s="345">
        <v>0</v>
      </c>
      <c r="L41" s="358">
        <v>0</v>
      </c>
      <c r="M41" s="700">
        <v>0</v>
      </c>
    </row>
    <row r="42" spans="2:18" s="612" customFormat="1" ht="24.75" customHeight="1" x14ac:dyDescent="0.2">
      <c r="B42" s="162" t="s">
        <v>363</v>
      </c>
      <c r="C42" s="346">
        <v>0</v>
      </c>
      <c r="D42" s="346">
        <v>0</v>
      </c>
      <c r="E42" s="346">
        <v>0</v>
      </c>
      <c r="F42" s="346">
        <v>0</v>
      </c>
      <c r="G42" s="346">
        <v>0</v>
      </c>
      <c r="H42" s="346">
        <v>0</v>
      </c>
      <c r="I42" s="346">
        <v>0</v>
      </c>
      <c r="J42" s="768">
        <v>0</v>
      </c>
      <c r="K42" s="768">
        <v>0</v>
      </c>
      <c r="L42" s="771">
        <v>0</v>
      </c>
      <c r="M42" s="845">
        <v>0</v>
      </c>
    </row>
    <row r="43" spans="2:18" s="612" customFormat="1" ht="11.25" customHeight="1" x14ac:dyDescent="0.2">
      <c r="K43" s="31"/>
      <c r="L43" s="772"/>
    </row>
    <row r="44" spans="2:18" s="612" customFormat="1" ht="27" customHeight="1" x14ac:dyDescent="0.2">
      <c r="B44" s="442" t="s">
        <v>334</v>
      </c>
      <c r="C44" s="443">
        <f>+C39+C32+C23-C15-C17-C14</f>
        <v>6.1137816935636806</v>
      </c>
      <c r="D44" s="443">
        <f t="shared" ref="D44:F44" si="6">+D39+D32+D23-D15-D17-D14</f>
        <v>81.398223089155763</v>
      </c>
      <c r="E44" s="443">
        <f t="shared" si="6"/>
        <v>87.916263444844944</v>
      </c>
      <c r="F44" s="443">
        <f t="shared" si="6"/>
        <v>-3.8873772724069227</v>
      </c>
      <c r="G44" s="443">
        <f>+G39+G32+G23-G15-G17-G14+G36-G37</f>
        <v>62.170813756200111</v>
      </c>
      <c r="H44" s="443">
        <f t="shared" ref="H44:I44" si="7">+H39+H32+H23-H15-H17-H14+H36-H37</f>
        <v>104.8376568539999</v>
      </c>
      <c r="I44" s="443">
        <f t="shared" si="7"/>
        <v>111.50531578159996</v>
      </c>
      <c r="J44" s="443">
        <f>+J39+J32+J23-J15-J17-J14+J36-J37-J28</f>
        <v>179.90954999659994</v>
      </c>
      <c r="K44" s="443">
        <f>+K39+K32+K23-K15-K17-K14</f>
        <v>195.42000000000002</v>
      </c>
      <c r="L44" s="705">
        <f>+L39+L32+L23-L15-L17-L28-L37+L36-L14</f>
        <v>205.33071575749997</v>
      </c>
      <c r="M44" s="702">
        <f>+M39+M32+M23-M15-M17-M28-M37+M36-M14</f>
        <v>297.08524600000004</v>
      </c>
    </row>
    <row r="45" spans="2:18" s="612" customFormat="1" ht="27" customHeight="1" x14ac:dyDescent="0.2">
      <c r="B45" s="444" t="s">
        <v>206</v>
      </c>
      <c r="C45" s="450">
        <f>+(C44)/1250.367223</f>
        <v>4.8895888992474658E-3</v>
      </c>
      <c r="D45" s="450">
        <f>+(D44-2.014)/1250.367223</f>
        <v>6.3488726854731198E-2</v>
      </c>
      <c r="E45" s="450">
        <f t="shared" ref="E45:I45" si="8">+(E44-52.5/4)/1250.367223</f>
        <v>5.9815438272125071E-2</v>
      </c>
      <c r="F45" s="450">
        <f t="shared" si="8"/>
        <v>-1.3605904697013097E-2</v>
      </c>
      <c r="G45" s="450">
        <f t="shared" si="8"/>
        <v>3.9225127509760475E-2</v>
      </c>
      <c r="H45" s="450">
        <f t="shared" si="8"/>
        <v>7.3348577255531511E-2</v>
      </c>
      <c r="I45" s="450">
        <f t="shared" si="8"/>
        <v>7.8681137806505E-2</v>
      </c>
      <c r="J45" s="450">
        <f t="shared" ref="J45" si="9">+(J44-52.5/4)/1250.367223</f>
        <v>0.13338845335087607</v>
      </c>
      <c r="K45" s="450">
        <f t="shared" ref="K45" si="10">+(K44-52.5/4)/1250.367223</f>
        <v>0.14579316911604617</v>
      </c>
      <c r="L45" s="569">
        <f t="shared" ref="L45:M45" si="11">+(L44-52.5/4)/1250.367223</f>
        <v>0.15371941316275209</v>
      </c>
      <c r="M45" s="703">
        <f t="shared" si="11"/>
        <v>0.22710147929077637</v>
      </c>
    </row>
    <row r="46" spans="2:18" s="612" customFormat="1" ht="27" customHeight="1" x14ac:dyDescent="0.2">
      <c r="B46" s="157" t="s">
        <v>336</v>
      </c>
      <c r="C46" s="87">
        <f>+C44+C15-C18+C14</f>
        <v>30.312143073563675</v>
      </c>
      <c r="D46" s="87">
        <f t="shared" ref="D46:K46" si="12">+D44+D15-D18+D14</f>
        <v>79.094652759155764</v>
      </c>
      <c r="E46" s="87">
        <f t="shared" si="12"/>
        <v>87.534868274844939</v>
      </c>
      <c r="F46" s="87">
        <f t="shared" si="12"/>
        <v>-6.748532092406947</v>
      </c>
      <c r="G46" s="87">
        <f t="shared" si="12"/>
        <v>134.49881375620015</v>
      </c>
      <c r="H46" s="87">
        <f t="shared" si="12"/>
        <v>79.869656853999913</v>
      </c>
      <c r="I46" s="87">
        <f t="shared" si="12"/>
        <v>116.86131578159996</v>
      </c>
      <c r="J46" s="87">
        <f t="shared" si="12"/>
        <v>199.47754999659995</v>
      </c>
      <c r="K46" s="87">
        <f t="shared" si="12"/>
        <v>203.69400000000002</v>
      </c>
      <c r="L46" s="354">
        <f>+L44+L15-L18+L14</f>
        <v>238.10271575749996</v>
      </c>
      <c r="M46" s="348">
        <f>+M44+M15-M18+M14</f>
        <v>278.94524600000005</v>
      </c>
    </row>
    <row r="47" spans="2:18" s="612" customFormat="1" ht="27" customHeight="1" x14ac:dyDescent="0.2">
      <c r="B47" s="445" t="s">
        <v>207</v>
      </c>
      <c r="C47" s="451">
        <f>+(C46)/1250.367223</f>
        <v>2.4242592508811851E-2</v>
      </c>
      <c r="D47" s="451">
        <f>+(D46-2.014)/1250.367223</f>
        <v>6.1646411823093487E-2</v>
      </c>
      <c r="E47" s="451">
        <f t="shared" ref="E47:I47" si="13">+(E46-52.5/4)/1250.367223</f>
        <v>5.9510411746329775E-2</v>
      </c>
      <c r="F47" s="451">
        <f t="shared" si="13"/>
        <v>-1.5894156314114248E-2</v>
      </c>
      <c r="G47" s="451">
        <f t="shared" si="13"/>
        <v>9.7070533778859422E-2</v>
      </c>
      <c r="H47" s="451">
        <f t="shared" si="13"/>
        <v>5.3380043579405241E-2</v>
      </c>
      <c r="I47" s="451">
        <f t="shared" si="13"/>
        <v>8.2964679394510937E-2</v>
      </c>
      <c r="J47" s="451">
        <f>+(J46-52.5/4)/1250.367223</f>
        <v>0.14903825577695901</v>
      </c>
      <c r="K47" s="451">
        <f>+(K46-52.5/4)/1250.367223</f>
        <v>0.15241042510916814</v>
      </c>
      <c r="L47" s="570">
        <f>+(L46-52.5/4)/1250.367223</f>
        <v>0.17992931326023728</v>
      </c>
      <c r="M47" s="704">
        <f>+(M46-52.5/4)/1250.367223</f>
        <v>0.21259374135081599</v>
      </c>
    </row>
    <row r="48" spans="2:18" s="612" customFormat="1" ht="11.25" customHeight="1" x14ac:dyDescent="0.2"/>
    <row r="49" spans="2:14" s="612" customFormat="1" ht="30" customHeight="1" x14ac:dyDescent="0.2">
      <c r="B49" s="946" t="s">
        <v>428</v>
      </c>
      <c r="C49" s="946"/>
      <c r="D49" s="946"/>
      <c r="E49" s="946"/>
      <c r="F49" s="946"/>
      <c r="G49" s="946"/>
      <c r="H49" s="946"/>
      <c r="I49" s="946"/>
      <c r="J49" s="946"/>
      <c r="K49" s="946"/>
      <c r="L49" s="921"/>
      <c r="M49" s="921"/>
    </row>
    <row r="50" spans="2:14" s="612" customFormat="1" ht="21.75" customHeight="1" x14ac:dyDescent="0.2">
      <c r="B50" s="675" t="s">
        <v>413</v>
      </c>
      <c r="C50" s="675"/>
      <c r="D50" s="675"/>
      <c r="E50" s="924"/>
      <c r="F50" s="924"/>
      <c r="G50" s="924"/>
      <c r="H50" s="924"/>
      <c r="I50" s="924"/>
      <c r="J50" s="924"/>
      <c r="K50" s="924"/>
      <c r="L50" s="832"/>
      <c r="M50" s="619"/>
    </row>
    <row r="51" spans="2:14" s="612" customFormat="1" ht="21.75" customHeight="1" x14ac:dyDescent="0.2">
      <c r="B51" s="924" t="s">
        <v>478</v>
      </c>
      <c r="C51" s="675"/>
      <c r="D51" s="675"/>
      <c r="E51" s="929"/>
      <c r="F51" s="929"/>
      <c r="G51" s="929"/>
      <c r="H51" s="928"/>
      <c r="I51" s="928"/>
      <c r="J51" s="928"/>
      <c r="K51" s="928"/>
      <c r="L51" s="922"/>
      <c r="M51" s="922"/>
    </row>
    <row r="52" spans="2:14" s="612" customFormat="1" ht="21.75" customHeight="1" x14ac:dyDescent="0.2">
      <c r="B52" s="675" t="s">
        <v>474</v>
      </c>
      <c r="C52" s="675"/>
      <c r="D52" s="675"/>
      <c r="E52" s="930"/>
      <c r="F52" s="928"/>
      <c r="G52" s="928"/>
      <c r="H52" s="928"/>
      <c r="I52" s="928"/>
      <c r="J52" s="928"/>
      <c r="K52" s="928"/>
      <c r="L52" s="918"/>
      <c r="M52" s="918"/>
    </row>
    <row r="53" spans="2:14" s="612" customFormat="1" ht="21.75" customHeight="1" x14ac:dyDescent="0.2">
      <c r="B53" s="675" t="s">
        <v>466</v>
      </c>
      <c r="C53" s="675"/>
      <c r="D53" s="675"/>
      <c r="E53" s="675"/>
      <c r="F53" s="675"/>
      <c r="G53" s="675"/>
      <c r="H53" s="928"/>
      <c r="I53" s="928"/>
      <c r="J53" s="928"/>
      <c r="K53" s="928"/>
      <c r="L53" s="918"/>
      <c r="M53" s="918"/>
    </row>
    <row r="54" spans="2:14" s="612" customFormat="1" ht="21.75" customHeight="1" x14ac:dyDescent="0.2">
      <c r="B54" s="675" t="s">
        <v>475</v>
      </c>
      <c r="C54" s="675"/>
      <c r="D54" s="675"/>
      <c r="E54" s="675"/>
      <c r="F54" s="675"/>
      <c r="G54" s="675"/>
      <c r="H54" s="928"/>
      <c r="I54" s="928"/>
      <c r="J54" s="928"/>
      <c r="K54" s="928"/>
      <c r="L54" s="895"/>
      <c r="M54" s="895"/>
    </row>
    <row r="55" spans="2:14" s="612" customFormat="1" ht="21.75" customHeight="1" x14ac:dyDescent="0.2">
      <c r="B55" s="675" t="s">
        <v>431</v>
      </c>
      <c r="C55" s="675"/>
      <c r="D55" s="675"/>
      <c r="E55" s="675"/>
      <c r="F55" s="675"/>
      <c r="G55" s="675"/>
      <c r="H55" s="923"/>
      <c r="I55" s="923"/>
      <c r="J55" s="923"/>
      <c r="K55" s="923"/>
      <c r="L55" s="923"/>
      <c r="M55" s="923"/>
    </row>
    <row r="56" spans="2:14" s="612" customFormat="1" ht="21.75" customHeight="1" x14ac:dyDescent="0.2">
      <c r="B56" s="675" t="s">
        <v>476</v>
      </c>
      <c r="C56" s="675"/>
      <c r="D56" s="675"/>
      <c r="E56" s="675"/>
      <c r="F56" s="675"/>
      <c r="G56" s="675"/>
      <c r="H56" s="619"/>
      <c r="I56" s="619"/>
      <c r="J56" s="619"/>
      <c r="K56" s="619"/>
      <c r="L56" s="832"/>
      <c r="M56" s="619"/>
    </row>
    <row r="57" spans="2:14" s="612" customFormat="1" ht="19.5" customHeight="1" x14ac:dyDescent="0.2">
      <c r="B57" s="514" t="s">
        <v>417</v>
      </c>
    </row>
    <row r="58" spans="2:14" ht="7.5" customHeight="1" x14ac:dyDescent="0.2">
      <c r="C58" s="452"/>
      <c r="D58" s="452"/>
      <c r="E58" s="452"/>
      <c r="F58" s="452"/>
      <c r="G58" s="452"/>
      <c r="H58" s="452"/>
      <c r="I58" s="452"/>
      <c r="J58" s="452"/>
      <c r="K58" s="452"/>
      <c r="L58" s="452"/>
      <c r="M58" s="452"/>
    </row>
    <row r="60" spans="2:14" x14ac:dyDescent="0.2">
      <c r="C60" s="1"/>
      <c r="D60" s="1"/>
      <c r="E60" s="1"/>
      <c r="F60" s="1"/>
      <c r="G60" s="1"/>
      <c r="H60" s="1"/>
      <c r="I60" s="1"/>
      <c r="J60" s="1"/>
      <c r="K60" s="1"/>
      <c r="L60" s="1"/>
      <c r="M60" s="1"/>
    </row>
    <row r="61" spans="2:14" x14ac:dyDescent="0.2">
      <c r="C61" s="452"/>
      <c r="D61" s="452"/>
      <c r="E61" s="452"/>
      <c r="F61" s="452"/>
      <c r="G61" s="452"/>
      <c r="H61" s="452"/>
      <c r="I61" s="452"/>
      <c r="J61" s="452"/>
      <c r="K61" s="452"/>
      <c r="L61" s="452"/>
      <c r="M61" s="452"/>
      <c r="N61" s="452"/>
    </row>
  </sheetData>
  <mergeCells count="2">
    <mergeCell ref="B5:M5"/>
    <mergeCell ref="B49:K49"/>
  </mergeCells>
  <hyperlinks>
    <hyperlink ref="M2" location="'Cover '!A1" display="Back to Cover" xr:uid="{00000000-0004-0000-0200-000000000000}"/>
  </hyperlinks>
  <printOptions horizontalCentered="1" verticalCentered="1"/>
  <pageMargins left="0" right="0" top="0" bottom="0" header="0" footer="0"/>
  <pageSetup paperSize="8" scale="55" orientation="portrait" r:id="rId1"/>
  <headerFooter alignWithMargins="0"/>
  <ignoredErrors>
    <ignoredError sqref="C46:M46"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4D89-02BE-4DCE-9264-F2EBBCDAE79D}">
  <dimension ref="A1:R40"/>
  <sheetViews>
    <sheetView showGridLines="0" view="pageBreakPreview" zoomScale="80" zoomScaleNormal="90" zoomScaleSheetLayoutView="80" workbookViewId="0">
      <selection activeCell="R11" sqref="R11"/>
    </sheetView>
  </sheetViews>
  <sheetFormatPr defaultColWidth="9.140625" defaultRowHeight="15.75" x14ac:dyDescent="0.2"/>
  <cols>
    <col min="1" max="1" width="2.42578125" style="31" customWidth="1"/>
    <col min="2" max="2" width="47.140625" style="31" bestFit="1" customWidth="1"/>
    <col min="3" max="13" width="15.85546875" style="31" customWidth="1"/>
    <col min="14" max="14" width="2.42578125" style="31" customWidth="1"/>
    <col min="15" max="15" width="9.140625" style="31"/>
    <col min="16" max="16" width="9.5703125" style="31" bestFit="1" customWidth="1"/>
    <col min="17" max="16384" width="9.140625" style="31"/>
  </cols>
  <sheetData>
    <row r="1" spans="1:18" ht="15.75" customHeight="1" x14ac:dyDescent="0.2"/>
    <row r="2" spans="1:18" ht="15.75" customHeight="1" x14ac:dyDescent="0.2">
      <c r="C2" s="32"/>
      <c r="D2" s="32"/>
      <c r="E2" s="32"/>
      <c r="F2" s="32"/>
      <c r="G2" s="32"/>
      <c r="H2" s="32"/>
      <c r="I2" s="32"/>
      <c r="J2" s="32"/>
      <c r="K2" s="32"/>
      <c r="L2" s="32"/>
      <c r="M2" s="32" t="s">
        <v>21</v>
      </c>
    </row>
    <row r="3" spans="1:18" ht="15.75" customHeight="1" x14ac:dyDescent="0.2"/>
    <row r="4" spans="1:18" ht="15.75" customHeight="1" x14ac:dyDescent="0.2"/>
    <row r="5" spans="1:18" s="75" customFormat="1" ht="26.25" x14ac:dyDescent="0.2">
      <c r="A5" s="74"/>
      <c r="B5" s="938" t="s">
        <v>154</v>
      </c>
      <c r="C5" s="938"/>
      <c r="D5" s="945"/>
      <c r="E5" s="945"/>
      <c r="F5" s="945"/>
      <c r="G5" s="945"/>
      <c r="H5" s="945"/>
      <c r="I5" s="945"/>
      <c r="J5" s="945"/>
      <c r="K5" s="945"/>
      <c r="L5" s="945"/>
      <c r="M5" s="945"/>
    </row>
    <row r="6" spans="1:18" s="77" customFormat="1" ht="9" customHeight="1" x14ac:dyDescent="0.2">
      <c r="A6" s="74"/>
      <c r="B6" s="76"/>
    </row>
    <row r="7" spans="1:18" s="77" customFormat="1" ht="15.75" customHeight="1" x14ac:dyDescent="0.2">
      <c r="A7" s="78"/>
      <c r="B7" s="83"/>
    </row>
    <row r="8" spans="1:18" ht="15" customHeight="1" x14ac:dyDescent="0.2"/>
    <row r="9" spans="1:18" s="30" customFormat="1" ht="33.75" customHeight="1" x14ac:dyDescent="0.2">
      <c r="B9" s="138" t="s">
        <v>0</v>
      </c>
      <c r="C9" s="185" t="s">
        <v>77</v>
      </c>
      <c r="D9" s="185" t="s">
        <v>83</v>
      </c>
      <c r="E9" s="185" t="s">
        <v>88</v>
      </c>
      <c r="F9" s="336" t="s">
        <v>91</v>
      </c>
      <c r="G9" s="336" t="s">
        <v>95</v>
      </c>
      <c r="H9" s="185" t="s">
        <v>163</v>
      </c>
      <c r="I9" s="336" t="s">
        <v>218</v>
      </c>
      <c r="J9" s="336" t="s">
        <v>227</v>
      </c>
      <c r="K9" s="336" t="s">
        <v>250</v>
      </c>
      <c r="L9" s="335" t="s">
        <v>256</v>
      </c>
      <c r="M9" s="332" t="s">
        <v>274</v>
      </c>
    </row>
    <row r="10" spans="1:18" s="33" customFormat="1" ht="24.75" customHeight="1" x14ac:dyDescent="0.2">
      <c r="B10" s="153" t="s">
        <v>364</v>
      </c>
      <c r="C10" s="257">
        <v>375.42130860000003</v>
      </c>
      <c r="D10" s="257">
        <v>361.86176279666694</v>
      </c>
      <c r="E10" s="257">
        <v>322.05970618127594</v>
      </c>
      <c r="F10" s="257">
        <v>294.16389040809179</v>
      </c>
      <c r="G10" s="388">
        <v>276.31284240000002</v>
      </c>
      <c r="H10" s="388">
        <v>283.98485196000001</v>
      </c>
      <c r="I10" s="388">
        <v>298.47618699999998</v>
      </c>
      <c r="J10" s="388">
        <v>356.40919214000007</v>
      </c>
      <c r="K10" s="388">
        <v>410.64699999999993</v>
      </c>
      <c r="L10" s="337">
        <v>454.39199999999983</v>
      </c>
      <c r="M10" s="333">
        <v>497.47399999999993</v>
      </c>
    </row>
    <row r="11" spans="1:18" s="33" customFormat="1" ht="24.75" customHeight="1" x14ac:dyDescent="0.2">
      <c r="B11" s="202" t="s">
        <v>105</v>
      </c>
      <c r="C11" s="258">
        <v>232.37485503999997</v>
      </c>
      <c r="D11" s="258">
        <v>231.34471290666667</v>
      </c>
      <c r="E11" s="258">
        <v>235.60091232127607</v>
      </c>
      <c r="F11" s="258">
        <v>235.40053185240311</v>
      </c>
      <c r="G11" s="398">
        <v>236.74443608999997</v>
      </c>
      <c r="H11" s="398">
        <v>244.63593896999996</v>
      </c>
      <c r="I11" s="398">
        <v>271.31779486000011</v>
      </c>
      <c r="J11" s="398">
        <v>333.00848080000031</v>
      </c>
      <c r="K11" s="398">
        <v>383.60011604999988</v>
      </c>
      <c r="L11" s="338">
        <v>427.67596949000006</v>
      </c>
      <c r="M11" s="334">
        <v>472.21331828999985</v>
      </c>
      <c r="P11" s="251"/>
    </row>
    <row r="12" spans="1:18" s="33" customFormat="1" ht="24.75" customHeight="1" x14ac:dyDescent="0.2">
      <c r="B12" s="202" t="s">
        <v>104</v>
      </c>
      <c r="C12" s="258">
        <v>143.04605357</v>
      </c>
      <c r="D12" s="258">
        <v>130.51667553999999</v>
      </c>
      <c r="E12" s="258">
        <v>86.45847360999997</v>
      </c>
      <c r="F12" s="258">
        <v>58.763054270000005</v>
      </c>
      <c r="G12" s="398">
        <v>39.56840631</v>
      </c>
      <c r="H12" s="398">
        <v>39.348912989999988</v>
      </c>
      <c r="I12" s="398">
        <v>27.158392140000007</v>
      </c>
      <c r="J12" s="398">
        <v>23.400711339999987</v>
      </c>
      <c r="K12" s="398">
        <v>27.046883949999998</v>
      </c>
      <c r="L12" s="338">
        <v>26.716030510000003</v>
      </c>
      <c r="M12" s="334">
        <v>25.260681710000004</v>
      </c>
    </row>
    <row r="13" spans="1:18" s="33" customFormat="1" ht="24.75" customHeight="1" x14ac:dyDescent="0.2">
      <c r="B13" s="153" t="s">
        <v>365</v>
      </c>
      <c r="C13" s="260">
        <v>28.880986150000009</v>
      </c>
      <c r="D13" s="260">
        <v>33.896013849999996</v>
      </c>
      <c r="E13" s="260">
        <v>34.328380400000015</v>
      </c>
      <c r="F13" s="260">
        <v>37.948867889999988</v>
      </c>
      <c r="G13" s="388">
        <v>38.993680680000004</v>
      </c>
      <c r="H13" s="388">
        <v>47.461657099999989</v>
      </c>
      <c r="I13" s="388">
        <v>63.70215254</v>
      </c>
      <c r="J13" s="388">
        <v>71.403908629999989</v>
      </c>
      <c r="K13" s="388">
        <v>77.10452746</v>
      </c>
      <c r="L13" s="337">
        <v>72.456081470000001</v>
      </c>
      <c r="M13" s="333">
        <v>79.94187721000003</v>
      </c>
      <c r="P13" s="250"/>
    </row>
    <row r="14" spans="1:18" s="33" customFormat="1" ht="24.75" customHeight="1" x14ac:dyDescent="0.2">
      <c r="B14" s="153" t="s">
        <v>366</v>
      </c>
      <c r="C14" s="260">
        <v>36.085515669999999</v>
      </c>
      <c r="D14" s="260">
        <v>33.795484330000001</v>
      </c>
      <c r="E14" s="260">
        <v>33.507519850000001</v>
      </c>
      <c r="F14" s="260">
        <v>31.723905430000009</v>
      </c>
      <c r="G14" s="388">
        <v>29.977940309999997</v>
      </c>
      <c r="H14" s="388">
        <v>28.649566179999997</v>
      </c>
      <c r="I14" s="388">
        <v>25.795956</v>
      </c>
      <c r="J14" s="388">
        <v>13.762030290000013</v>
      </c>
      <c r="K14" s="388">
        <v>28.620229609999999</v>
      </c>
      <c r="L14" s="337">
        <v>53.407572030000011</v>
      </c>
      <c r="M14" s="333">
        <v>63.123262740000001</v>
      </c>
      <c r="P14" s="250"/>
    </row>
    <row r="15" spans="1:18" s="33" customFormat="1" ht="24.75" customHeight="1" x14ac:dyDescent="0.2">
      <c r="B15" s="153" t="s">
        <v>367</v>
      </c>
      <c r="C15" s="257">
        <v>18.4291225199999</v>
      </c>
      <c r="D15" s="257">
        <v>65.2</v>
      </c>
      <c r="E15" s="257">
        <v>21.45724106205715</v>
      </c>
      <c r="F15" s="257">
        <v>55.858364991908502</v>
      </c>
      <c r="G15" s="388">
        <v>40.166909249999932</v>
      </c>
      <c r="H15" s="388">
        <v>42.634530130000016</v>
      </c>
      <c r="I15" s="388">
        <v>16.125663080000052</v>
      </c>
      <c r="J15" s="388">
        <v>57.469509699999989</v>
      </c>
      <c r="K15" s="388">
        <v>64.801649500000124</v>
      </c>
      <c r="L15" s="337">
        <v>89.9461821000002</v>
      </c>
      <c r="M15" s="333">
        <v>120.41568600999999</v>
      </c>
      <c r="P15" s="637"/>
      <c r="R15" s="604"/>
    </row>
    <row r="16" spans="1:18" s="33" customFormat="1" ht="24.75" customHeight="1" x14ac:dyDescent="0.2">
      <c r="B16" s="154" t="s">
        <v>368</v>
      </c>
      <c r="C16" s="85">
        <f>C10+C13+C15+C14</f>
        <v>458.81693293999996</v>
      </c>
      <c r="D16" s="85">
        <f t="shared" ref="D16:K16" si="0">D10+D13+D15+D14</f>
        <v>494.75326097666692</v>
      </c>
      <c r="E16" s="85">
        <f t="shared" si="0"/>
        <v>411.35284749333312</v>
      </c>
      <c r="F16" s="85">
        <f t="shared" si="0"/>
        <v>419.69502872000027</v>
      </c>
      <c r="G16" s="85">
        <f t="shared" si="0"/>
        <v>385.45137263999999</v>
      </c>
      <c r="H16" s="85">
        <f t="shared" si="0"/>
        <v>402.73060537000003</v>
      </c>
      <c r="I16" s="85">
        <f t="shared" si="0"/>
        <v>404.09995862</v>
      </c>
      <c r="J16" s="85">
        <f t="shared" si="0"/>
        <v>499.04464076000011</v>
      </c>
      <c r="K16" s="85">
        <f t="shared" si="0"/>
        <v>581.17340657000011</v>
      </c>
      <c r="L16" s="344">
        <f>L10+L13+L15+L14</f>
        <v>670.20183559999998</v>
      </c>
      <c r="M16" s="339">
        <f>M10+M13+M15+M14</f>
        <v>760.95482595999988</v>
      </c>
    </row>
    <row r="17" spans="2:13" s="33" customFormat="1" ht="17.25" customHeight="1" x14ac:dyDescent="0.2">
      <c r="B17" s="155"/>
      <c r="C17" s="252"/>
      <c r="D17" s="252"/>
      <c r="E17" s="252"/>
      <c r="F17" s="252"/>
      <c r="G17" s="526"/>
      <c r="H17" s="526"/>
      <c r="I17" s="526"/>
      <c r="J17" s="526"/>
      <c r="K17" s="526"/>
      <c r="L17" s="343"/>
      <c r="M17" s="340"/>
    </row>
    <row r="18" spans="2:13" s="33" customFormat="1" ht="24.75" customHeight="1" x14ac:dyDescent="0.2">
      <c r="B18" s="155" t="s">
        <v>369</v>
      </c>
      <c r="C18" s="257">
        <v>12.075216410000003</v>
      </c>
      <c r="D18" s="257">
        <v>10.778791320000003</v>
      </c>
      <c r="E18" s="257">
        <v>8.9324269400000027</v>
      </c>
      <c r="F18" s="257">
        <v>8.4185369599999937</v>
      </c>
      <c r="G18" s="388">
        <v>7.6433844600000063</v>
      </c>
      <c r="H18" s="388">
        <v>8.9835367899999952</v>
      </c>
      <c r="I18" s="388">
        <v>12.219328970000003</v>
      </c>
      <c r="J18" s="388">
        <v>19.877328919999989</v>
      </c>
      <c r="K18" s="388">
        <v>32.772462070000003</v>
      </c>
      <c r="L18" s="337">
        <v>52.686348440000003</v>
      </c>
      <c r="M18" s="333">
        <v>70.288956289999987</v>
      </c>
    </row>
    <row r="19" spans="2:13" s="33" customFormat="1" ht="24.75" customHeight="1" x14ac:dyDescent="0.2">
      <c r="B19" s="153" t="s">
        <v>370</v>
      </c>
      <c r="C19" s="388">
        <v>0.44075059999999999</v>
      </c>
      <c r="D19" s="388">
        <v>0.4212494</v>
      </c>
      <c r="E19" s="388">
        <v>0.43710517999999998</v>
      </c>
      <c r="F19" s="388">
        <v>0.39465862000000029</v>
      </c>
      <c r="G19" s="388">
        <v>1.34024155</v>
      </c>
      <c r="H19" s="388">
        <v>2.3094708099999997</v>
      </c>
      <c r="I19" s="388">
        <v>3.128867950000001</v>
      </c>
      <c r="J19" s="388">
        <v>8.0410622899999993</v>
      </c>
      <c r="K19" s="388">
        <v>33.190059439999999</v>
      </c>
      <c r="L19" s="337">
        <v>46.345009220000016</v>
      </c>
      <c r="M19" s="333">
        <v>54.02223034999998</v>
      </c>
    </row>
    <row r="20" spans="2:13" s="33" customFormat="1" ht="24.75" customHeight="1" x14ac:dyDescent="0.2">
      <c r="B20" s="153" t="s">
        <v>371</v>
      </c>
      <c r="C20" s="257">
        <v>18.154992290000003</v>
      </c>
      <c r="D20" s="257">
        <v>18.381229989999998</v>
      </c>
      <c r="E20" s="257">
        <v>18.555139349999997</v>
      </c>
      <c r="F20" s="257">
        <v>21.702709370000001</v>
      </c>
      <c r="G20" s="388">
        <v>23.027535540000002</v>
      </c>
      <c r="H20" s="388">
        <v>23.533112760000002</v>
      </c>
      <c r="I20" s="388">
        <v>23.884300769999996</v>
      </c>
      <c r="J20" s="388">
        <v>25.820154970000011</v>
      </c>
      <c r="K20" s="388">
        <v>29.043533120000003</v>
      </c>
      <c r="L20" s="337">
        <v>29.602520509999998</v>
      </c>
      <c r="M20" s="333">
        <v>37.444393680000005</v>
      </c>
    </row>
    <row r="21" spans="2:13" s="33" customFormat="1" ht="24.75" customHeight="1" x14ac:dyDescent="0.2">
      <c r="B21" s="153" t="s">
        <v>372</v>
      </c>
      <c r="C21" s="257">
        <v>37.901828260000002</v>
      </c>
      <c r="D21" s="257">
        <v>33.458171739999997</v>
      </c>
      <c r="E21" s="257">
        <v>36.800277750000006</v>
      </c>
      <c r="F21" s="257">
        <v>42.143912830000005</v>
      </c>
      <c r="G21" s="388">
        <v>36.874636259999996</v>
      </c>
      <c r="H21" s="388">
        <v>30.945729410000006</v>
      </c>
      <c r="I21" s="388">
        <v>13.94749745</v>
      </c>
      <c r="J21" s="388">
        <v>0.64571363000000304</v>
      </c>
      <c r="K21" s="388">
        <v>12.38514004</v>
      </c>
      <c r="L21" s="337">
        <v>18.820755200000004</v>
      </c>
      <c r="M21" s="333">
        <v>24.75945668999999</v>
      </c>
    </row>
    <row r="22" spans="2:13" ht="24.75" customHeight="1" x14ac:dyDescent="0.2">
      <c r="B22" s="153" t="s">
        <v>373</v>
      </c>
      <c r="C22" s="257">
        <v>24.760131609999991</v>
      </c>
      <c r="D22" s="257">
        <v>25.028951450000008</v>
      </c>
      <c r="E22" s="257">
        <v>27.55633774</v>
      </c>
      <c r="F22" s="257">
        <v>28.708900160000095</v>
      </c>
      <c r="G22" s="388">
        <v>30.669785559999998</v>
      </c>
      <c r="H22" s="388">
        <v>31.391113600000004</v>
      </c>
      <c r="I22" s="388">
        <v>20.328117169999974</v>
      </c>
      <c r="J22" s="388">
        <v>14.014574680000058</v>
      </c>
      <c r="K22" s="388">
        <v>26.915360610000008</v>
      </c>
      <c r="L22" s="337">
        <v>34.947751630000006</v>
      </c>
      <c r="M22" s="333">
        <v>43.089278740000005</v>
      </c>
    </row>
    <row r="23" spans="2:13" s="33" customFormat="1" ht="24.75" customHeight="1" x14ac:dyDescent="0.2">
      <c r="B23" s="154" t="s">
        <v>374</v>
      </c>
      <c r="C23" s="85">
        <f>SUM(C18:C22)</f>
        <v>93.332919169999997</v>
      </c>
      <c r="D23" s="85">
        <f t="shared" ref="D23:G23" si="1">SUM(D18:D22)</f>
        <v>88.068393900000004</v>
      </c>
      <c r="E23" s="85">
        <f t="shared" si="1"/>
        <v>92.281286960000017</v>
      </c>
      <c r="F23" s="85">
        <f t="shared" si="1"/>
        <v>101.3687179400001</v>
      </c>
      <c r="G23" s="85">
        <f t="shared" si="1"/>
        <v>99.555583370000008</v>
      </c>
      <c r="H23" s="85">
        <f t="shared" ref="H23" si="2">SUM(H18:H22)</f>
        <v>97.16296337</v>
      </c>
      <c r="I23" s="85">
        <f>SUM(I18:I22)</f>
        <v>73.508112309999973</v>
      </c>
      <c r="J23" s="85">
        <f>SUM(J18:J22)</f>
        <v>68.398834490000056</v>
      </c>
      <c r="K23" s="85">
        <f>SUM(K18:K22)</f>
        <v>134.30655528</v>
      </c>
      <c r="L23" s="344">
        <f>SUM(L18:L22)</f>
        <v>182.40238500000004</v>
      </c>
      <c r="M23" s="341">
        <f>SUM(M18:M22)</f>
        <v>229.60431574999996</v>
      </c>
    </row>
    <row r="24" spans="2:13" s="33" customFormat="1" ht="11.25" customHeight="1" x14ac:dyDescent="0.25">
      <c r="B24" s="156"/>
      <c r="C24" s="259"/>
      <c r="D24" s="259"/>
      <c r="E24" s="259"/>
      <c r="F24" s="259"/>
      <c r="G24" s="527"/>
      <c r="H24" s="568"/>
      <c r="I24" s="568"/>
      <c r="J24" s="568"/>
      <c r="K24" s="568"/>
      <c r="L24" s="528"/>
      <c r="M24" s="342"/>
    </row>
    <row r="25" spans="2:13" s="33" customFormat="1" ht="24" customHeight="1" x14ac:dyDescent="0.2">
      <c r="B25" s="876" t="s">
        <v>1</v>
      </c>
      <c r="C25" s="880">
        <f>C16-C23</f>
        <v>365.48401376999993</v>
      </c>
      <c r="D25" s="880">
        <f t="shared" ref="D25:K25" si="3">D16-D23</f>
        <v>406.68486707666693</v>
      </c>
      <c r="E25" s="880">
        <f t="shared" si="3"/>
        <v>319.07156053333313</v>
      </c>
      <c r="F25" s="880">
        <f t="shared" si="3"/>
        <v>318.3263107800002</v>
      </c>
      <c r="G25" s="880">
        <f t="shared" si="3"/>
        <v>285.89578926999997</v>
      </c>
      <c r="H25" s="880">
        <f t="shared" si="3"/>
        <v>305.56764200000003</v>
      </c>
      <c r="I25" s="880">
        <f t="shared" si="3"/>
        <v>330.59184631000005</v>
      </c>
      <c r="J25" s="880">
        <f t="shared" si="3"/>
        <v>430.64580627000004</v>
      </c>
      <c r="K25" s="880">
        <f t="shared" si="3"/>
        <v>446.86685129000011</v>
      </c>
      <c r="L25" s="881">
        <f>L16-L23</f>
        <v>487.79945059999994</v>
      </c>
      <c r="M25" s="882">
        <f>M16-M23</f>
        <v>531.35051020999992</v>
      </c>
    </row>
    <row r="26" spans="2:13" s="33" customFormat="1" ht="12.75" customHeight="1" x14ac:dyDescent="0.2">
      <c r="B26" s="892"/>
      <c r="C26" s="893"/>
      <c r="D26" s="893"/>
      <c r="E26" s="893"/>
      <c r="F26" s="893"/>
      <c r="G26" s="893"/>
      <c r="H26" s="893"/>
      <c r="I26" s="893"/>
      <c r="J26" s="893"/>
      <c r="K26" s="893"/>
      <c r="L26" s="893"/>
      <c r="M26" s="894"/>
    </row>
    <row r="27" spans="2:13" s="33" customFormat="1" ht="23.25" customHeight="1" x14ac:dyDescent="0.2">
      <c r="B27" s="876" t="s">
        <v>291</v>
      </c>
      <c r="C27" s="877">
        <v>3.6497144395422662E-2</v>
      </c>
      <c r="D27" s="877">
        <v>3.6302065005272027E-2</v>
      </c>
      <c r="E27" s="877">
        <v>3.6486858769872815E-2</v>
      </c>
      <c r="F27" s="877">
        <v>3.6659093523694543E-2</v>
      </c>
      <c r="G27" s="877">
        <v>3.5367596149805385E-2</v>
      </c>
      <c r="H27" s="877">
        <v>3.633836919004433E-2</v>
      </c>
      <c r="I27" s="877">
        <v>3.8607013079302414E-2</v>
      </c>
      <c r="J27" s="877">
        <v>4.6752684459543552E-2</v>
      </c>
      <c r="K27" s="877">
        <v>5.5274906980995513E-2</v>
      </c>
      <c r="L27" s="878">
        <v>6.070619928770199E-2</v>
      </c>
      <c r="M27" s="879">
        <v>6.4562669640484793E-2</v>
      </c>
    </row>
    <row r="28" spans="2:13" s="33" customFormat="1" ht="23.25" customHeight="1" x14ac:dyDescent="0.2">
      <c r="B28" s="876" t="s">
        <v>292</v>
      </c>
      <c r="C28" s="877">
        <v>1.2524660044442752E-2</v>
      </c>
      <c r="D28" s="877">
        <v>1.1931430943626562E-2</v>
      </c>
      <c r="E28" s="877">
        <v>1.1065724187424129E-2</v>
      </c>
      <c r="F28" s="877">
        <v>1.1716432196641625E-2</v>
      </c>
      <c r="G28" s="877">
        <v>1.2802615841537796E-2</v>
      </c>
      <c r="H28" s="877">
        <v>1.5174101143778764E-2</v>
      </c>
      <c r="I28" s="877">
        <v>1.9091289063860865E-2</v>
      </c>
      <c r="J28" s="877">
        <v>2.0720208918122183E-2</v>
      </c>
      <c r="K28" s="877">
        <v>2.5119801157975224E-2</v>
      </c>
      <c r="L28" s="878">
        <v>2.218905237387921E-2</v>
      </c>
      <c r="M28" s="879">
        <v>2.3988991922705458E-2</v>
      </c>
    </row>
    <row r="29" spans="2:13" s="33" customFormat="1" ht="23.25" customHeight="1" x14ac:dyDescent="0.2">
      <c r="B29" s="876" t="s">
        <v>289</v>
      </c>
      <c r="C29" s="877">
        <v>9.7815883776498501E-4</v>
      </c>
      <c r="D29" s="877">
        <v>8.3798361862851836E-4</v>
      </c>
      <c r="E29" s="877">
        <v>6.7009092780727277E-4</v>
      </c>
      <c r="F29" s="877">
        <v>6.0736450875890219E-4</v>
      </c>
      <c r="G29" s="877">
        <v>5.5859697784530241E-4</v>
      </c>
      <c r="H29" s="877">
        <v>6.4073562478832679E-4</v>
      </c>
      <c r="I29" s="877">
        <v>8.4769235672187289E-4</v>
      </c>
      <c r="J29" s="877">
        <v>1.3524478197423323E-3</v>
      </c>
      <c r="K29" s="877">
        <v>2.2992829711599235E-3</v>
      </c>
      <c r="L29" s="878">
        <v>3.6137516447293039E-3</v>
      </c>
      <c r="M29" s="879">
        <v>4.6953754684291374E-3</v>
      </c>
    </row>
    <row r="30" spans="2:13" s="33" customFormat="1" ht="23.25" customHeight="1" x14ac:dyDescent="0.2">
      <c r="B30" s="876" t="s">
        <v>290</v>
      </c>
      <c r="C30" s="877">
        <v>5.202825232634483E-2</v>
      </c>
      <c r="D30" s="877">
        <v>5.2308411618719457E-2</v>
      </c>
      <c r="E30" s="877">
        <v>5.2546378940822813E-2</v>
      </c>
      <c r="F30" s="877">
        <v>4.9034675797743288E-2</v>
      </c>
      <c r="G30" s="877">
        <v>4.8445267871486807E-2</v>
      </c>
      <c r="H30" s="877">
        <v>4.8971383747625767E-2</v>
      </c>
      <c r="I30" s="877">
        <v>4.934028091930534E-2</v>
      </c>
      <c r="J30" s="877">
        <v>6.0620395366141257E-2</v>
      </c>
      <c r="K30" s="877">
        <v>6.5171258055481962E-2</v>
      </c>
      <c r="L30" s="878">
        <v>6.5429217519622399E-2</v>
      </c>
      <c r="M30" s="879">
        <v>6.3833707033967485E-2</v>
      </c>
    </row>
    <row r="31" spans="2:13" s="33" customFormat="1" ht="11.25" customHeight="1" x14ac:dyDescent="0.25">
      <c r="B31" s="156"/>
      <c r="C31" s="259"/>
      <c r="D31" s="259"/>
      <c r="E31" s="259"/>
      <c r="F31" s="259"/>
      <c r="G31" s="527"/>
      <c r="H31" s="568"/>
      <c r="I31" s="568"/>
      <c r="J31" s="568"/>
      <c r="K31" s="568"/>
      <c r="L31" s="528"/>
      <c r="M31" s="342"/>
    </row>
    <row r="32" spans="2:13" s="33" customFormat="1" ht="24.75" customHeight="1" x14ac:dyDescent="0.2">
      <c r="B32" s="876" t="s">
        <v>235</v>
      </c>
      <c r="C32" s="883">
        <v>2.0600103559544593E-2</v>
      </c>
      <c r="D32" s="883">
        <v>2.2146419115178746E-2</v>
      </c>
      <c r="E32" s="883">
        <v>1.6989288277305222E-2</v>
      </c>
      <c r="F32" s="883">
        <v>1.6587115223003476E-2</v>
      </c>
      <c r="G32" s="884">
        <v>1.4513780822707293E-2</v>
      </c>
      <c r="H32" s="883">
        <v>1.5170293643069429E-2</v>
      </c>
      <c r="I32" s="883">
        <v>1.6086041285755897E-2</v>
      </c>
      <c r="J32" s="883">
        <v>2.1971872672315748E-2</v>
      </c>
      <c r="K32" s="883">
        <v>2.402130891999836E-2</v>
      </c>
      <c r="L32" s="885">
        <v>2.5730816441364001E-2</v>
      </c>
      <c r="M32" s="886">
        <v>2.7206651241827556E-2</v>
      </c>
    </row>
    <row r="33" spans="2:13" ht="24.75" customHeight="1" x14ac:dyDescent="0.2">
      <c r="B33" s="887" t="s">
        <v>282</v>
      </c>
      <c r="C33" s="888">
        <v>2.4808950874218812E-2</v>
      </c>
      <c r="D33" s="888">
        <v>2.675988953565708E-2</v>
      </c>
      <c r="E33" s="888">
        <v>2.0419920804521263E-2</v>
      </c>
      <c r="F33" s="888">
        <v>1.9645001410429269E-2</v>
      </c>
      <c r="G33" s="889">
        <v>1.7153968416720802E-2</v>
      </c>
      <c r="H33" s="888">
        <v>1.8113635426630716E-2</v>
      </c>
      <c r="I33" s="888">
        <v>1.9183351465404737E-2</v>
      </c>
      <c r="J33" s="888">
        <v>2.6179850778978331E-2</v>
      </c>
      <c r="K33" s="888">
        <v>2.8953056164747321E-2</v>
      </c>
      <c r="L33" s="890">
        <v>3.1338402508389207E-2</v>
      </c>
      <c r="M33" s="891">
        <v>3.2960999119294433E-2</v>
      </c>
    </row>
    <row r="34" spans="2:13" s="612" customFormat="1" ht="11.25" customHeight="1" x14ac:dyDescent="0.2"/>
    <row r="35" spans="2:13" s="612" customFormat="1" ht="18.75" customHeight="1" x14ac:dyDescent="0.2">
      <c r="B35" s="675" t="s">
        <v>283</v>
      </c>
      <c r="C35" s="895"/>
      <c r="D35" s="895"/>
      <c r="E35" s="895"/>
      <c r="F35" s="895"/>
      <c r="G35" s="895"/>
      <c r="H35" s="895"/>
      <c r="I35" s="895"/>
      <c r="J35" s="895"/>
      <c r="K35" s="895"/>
      <c r="L35" s="895"/>
      <c r="M35" s="895"/>
    </row>
    <row r="36" spans="2:13" s="612" customFormat="1" ht="18.75" customHeight="1" x14ac:dyDescent="0.2">
      <c r="B36" s="675" t="s">
        <v>284</v>
      </c>
      <c r="C36" s="619"/>
      <c r="D36" s="619"/>
      <c r="E36" s="619"/>
      <c r="F36" s="619"/>
      <c r="G36" s="619"/>
      <c r="H36" s="619"/>
      <c r="I36" s="619"/>
      <c r="J36" s="619"/>
      <c r="K36" s="619"/>
      <c r="L36" s="832"/>
      <c r="M36" s="619"/>
    </row>
    <row r="37" spans="2:13" ht="27" customHeight="1" x14ac:dyDescent="0.2">
      <c r="B37" s="874"/>
      <c r="C37" s="875"/>
      <c r="D37" s="875"/>
      <c r="E37" s="248"/>
      <c r="F37" s="248"/>
      <c r="G37" s="248"/>
      <c r="H37" s="248"/>
      <c r="I37" s="562"/>
      <c r="J37" s="691"/>
      <c r="K37" s="741"/>
      <c r="L37" s="833"/>
      <c r="M37" s="248"/>
    </row>
    <row r="38" spans="2:13" ht="34.5" customHeight="1" x14ac:dyDescent="0.2">
      <c r="B38" s="248"/>
      <c r="C38" s="248"/>
      <c r="D38" s="248"/>
      <c r="E38" s="248"/>
      <c r="F38" s="248"/>
      <c r="G38" s="248"/>
      <c r="H38" s="248"/>
      <c r="I38" s="562"/>
      <c r="J38" s="691"/>
      <c r="K38" s="741"/>
      <c r="L38" s="833"/>
      <c r="M38" s="248"/>
    </row>
    <row r="39" spans="2:13" x14ac:dyDescent="0.2">
      <c r="B39" s="248"/>
      <c r="C39" s="248"/>
      <c r="D39" s="248"/>
      <c r="E39" s="248"/>
      <c r="F39" s="248"/>
      <c r="G39" s="248"/>
      <c r="H39" s="248"/>
      <c r="I39" s="562"/>
      <c r="J39" s="691"/>
      <c r="K39" s="741"/>
      <c r="L39" s="833"/>
      <c r="M39" s="248"/>
    </row>
    <row r="40" spans="2:13" ht="24.75" customHeight="1" x14ac:dyDescent="0.2">
      <c r="B40" s="248"/>
      <c r="C40" s="248"/>
      <c r="D40" s="248"/>
      <c r="E40" s="248"/>
      <c r="F40" s="248"/>
      <c r="G40" s="248"/>
      <c r="H40" s="248"/>
      <c r="I40" s="562"/>
      <c r="J40" s="691"/>
      <c r="K40" s="741"/>
      <c r="L40" s="833"/>
      <c r="M40" s="248"/>
    </row>
  </sheetData>
  <mergeCells count="1">
    <mergeCell ref="B5:M5"/>
  </mergeCells>
  <hyperlinks>
    <hyperlink ref="M2" location="'Cover '!A1" display="Back to Cover" xr:uid="{3863610A-EFDF-49AB-BA32-F7C5F2EB55D5}"/>
  </hyperlinks>
  <pageMargins left="0.7" right="0.7" top="0.75" bottom="0.75" header="0.3" footer="0.3"/>
  <pageSetup scale="4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46CA-E650-42A2-AB1A-CEB202C7CCF8}">
  <dimension ref="A1:T30"/>
  <sheetViews>
    <sheetView showGridLines="0" view="pageBreakPreview" zoomScale="80" zoomScaleNormal="90" zoomScaleSheetLayoutView="80" workbookViewId="0">
      <selection activeCell="L11" sqref="L11"/>
    </sheetView>
  </sheetViews>
  <sheetFormatPr defaultColWidth="9.140625" defaultRowHeight="15.75" x14ac:dyDescent="0.2"/>
  <cols>
    <col min="1" max="1" width="2.42578125" style="31" customWidth="1"/>
    <col min="2" max="2" width="26" style="31" bestFit="1" customWidth="1"/>
    <col min="3" max="3" width="37.140625" style="31" customWidth="1"/>
    <col min="4" max="14" width="15.85546875" style="31" customWidth="1"/>
    <col min="15" max="15" width="2.42578125" style="31" customWidth="1"/>
    <col min="16" max="16" width="9.140625" style="31"/>
    <col min="17" max="17" width="13.140625" style="31" bestFit="1" customWidth="1"/>
    <col min="18" max="16384" width="9.140625" style="31"/>
  </cols>
  <sheetData>
    <row r="1" spans="1:20" ht="15.75" customHeight="1" x14ac:dyDescent="0.2"/>
    <row r="2" spans="1:20" ht="15.75" customHeight="1" x14ac:dyDescent="0.2">
      <c r="D2" s="32"/>
      <c r="E2" s="32"/>
      <c r="F2" s="32"/>
      <c r="G2" s="32"/>
      <c r="H2" s="32"/>
      <c r="I2" s="32"/>
      <c r="J2" s="32"/>
      <c r="K2" s="32"/>
      <c r="L2" s="32"/>
      <c r="M2" s="32"/>
      <c r="N2" s="32" t="s">
        <v>21</v>
      </c>
    </row>
    <row r="3" spans="1:20" ht="15.75" customHeight="1" x14ac:dyDescent="0.2"/>
    <row r="4" spans="1:20" ht="15.75" customHeight="1" x14ac:dyDescent="0.2"/>
    <row r="5" spans="1:20" s="75" customFormat="1" ht="26.25" x14ac:dyDescent="0.2">
      <c r="A5" s="74"/>
      <c r="B5" s="947" t="s">
        <v>155</v>
      </c>
      <c r="C5" s="947"/>
      <c r="D5" s="948"/>
      <c r="E5" s="948"/>
      <c r="F5" s="948"/>
      <c r="G5" s="948"/>
      <c r="H5" s="948"/>
      <c r="I5" s="948"/>
      <c r="J5" s="948"/>
      <c r="K5" s="948"/>
      <c r="L5" s="948"/>
      <c r="M5" s="948"/>
      <c r="N5" s="948"/>
    </row>
    <row r="6" spans="1:20" s="77" customFormat="1" ht="9" customHeight="1" x14ac:dyDescent="0.2">
      <c r="A6" s="74"/>
      <c r="B6" s="76"/>
      <c r="C6" s="76"/>
    </row>
    <row r="7" spans="1:20" s="77" customFormat="1" ht="15.75" customHeight="1" x14ac:dyDescent="0.2">
      <c r="A7" s="78"/>
      <c r="B7" s="83"/>
      <c r="C7" s="83"/>
    </row>
    <row r="8" spans="1:20" ht="15" customHeight="1" x14ac:dyDescent="0.2"/>
    <row r="9" spans="1:20" s="30" customFormat="1" ht="33.75" customHeight="1" x14ac:dyDescent="0.2">
      <c r="B9" s="138" t="s">
        <v>0</v>
      </c>
      <c r="C9" s="261"/>
      <c r="D9" s="185" t="s">
        <v>77</v>
      </c>
      <c r="E9" s="185" t="s">
        <v>83</v>
      </c>
      <c r="F9" s="185" t="s">
        <v>88</v>
      </c>
      <c r="G9" s="336" t="s">
        <v>91</v>
      </c>
      <c r="H9" s="336" t="s">
        <v>95</v>
      </c>
      <c r="I9" s="185" t="s">
        <v>163</v>
      </c>
      <c r="J9" s="336" t="s">
        <v>218</v>
      </c>
      <c r="K9" s="336" t="s">
        <v>227</v>
      </c>
      <c r="L9" s="336" t="s">
        <v>250</v>
      </c>
      <c r="M9" s="335" t="s">
        <v>256</v>
      </c>
      <c r="N9" s="332" t="s">
        <v>274</v>
      </c>
    </row>
    <row r="10" spans="1:20" s="33" customFormat="1" ht="24.75" customHeight="1" x14ac:dyDescent="0.2">
      <c r="B10" s="949" t="s">
        <v>109</v>
      </c>
      <c r="C10" s="262" t="s">
        <v>106</v>
      </c>
      <c r="D10" s="388">
        <v>10.101461810000002</v>
      </c>
      <c r="E10" s="392">
        <v>21.437862629999991</v>
      </c>
      <c r="F10" s="392">
        <v>11.092055152320743</v>
      </c>
      <c r="G10" s="392">
        <v>20.940193070000007</v>
      </c>
      <c r="H10" s="388">
        <v>18.747057389999995</v>
      </c>
      <c r="I10" s="388">
        <v>25.912012440000005</v>
      </c>
      <c r="J10" s="388">
        <v>19.657180610000001</v>
      </c>
      <c r="K10" s="388">
        <v>23.168867169999999</v>
      </c>
      <c r="L10" s="388">
        <v>20.966668500000001</v>
      </c>
      <c r="M10" s="337">
        <v>30.556121590000004</v>
      </c>
      <c r="N10" s="333">
        <v>21.575059740000047</v>
      </c>
      <c r="Q10" s="251"/>
      <c r="R10" s="251"/>
      <c r="S10" s="251"/>
      <c r="T10" s="249"/>
    </row>
    <row r="11" spans="1:20" s="33" customFormat="1" ht="24.75" customHeight="1" x14ac:dyDescent="0.2">
      <c r="B11" s="950"/>
      <c r="C11" s="262" t="s">
        <v>375</v>
      </c>
      <c r="D11" s="389">
        <v>8.1545305500000023</v>
      </c>
      <c r="E11" s="389">
        <v>8.0704555100000022</v>
      </c>
      <c r="F11" s="389">
        <v>9.2617996300000041</v>
      </c>
      <c r="G11" s="389">
        <v>8.9469528699999952</v>
      </c>
      <c r="H11" s="388">
        <v>8.6378586199999994</v>
      </c>
      <c r="I11" s="388">
        <v>9.6216372799999998</v>
      </c>
      <c r="J11" s="388">
        <v>9.8943955099999989</v>
      </c>
      <c r="K11" s="388">
        <v>11.204075929999998</v>
      </c>
      <c r="L11" s="388">
        <v>11.111915479999999</v>
      </c>
      <c r="M11" s="337">
        <v>11.301658049999993</v>
      </c>
      <c r="N11" s="333">
        <v>12.056728299999982</v>
      </c>
      <c r="Q11" s="251"/>
    </row>
    <row r="12" spans="1:20" s="33" customFormat="1" ht="24.75" customHeight="1" x14ac:dyDescent="0.2">
      <c r="B12" s="950"/>
      <c r="C12" s="262" t="s">
        <v>376</v>
      </c>
      <c r="D12" s="389">
        <v>1.7999999999999999E-2</v>
      </c>
      <c r="E12" s="389">
        <v>3.5457431699999997</v>
      </c>
      <c r="F12" s="389">
        <v>7.1820240000000002</v>
      </c>
      <c r="G12" s="389">
        <v>6.0057218299999997</v>
      </c>
      <c r="H12" s="388">
        <v>2.4410745700000005</v>
      </c>
      <c r="I12" s="388">
        <v>1.44E-2</v>
      </c>
      <c r="J12" s="388">
        <v>3.5766958299999998</v>
      </c>
      <c r="K12" s="388">
        <v>1.8257788699999999</v>
      </c>
      <c r="L12" s="388">
        <v>0.26500000000000001</v>
      </c>
      <c r="M12" s="337">
        <v>0.12077125000000001</v>
      </c>
      <c r="N12" s="333">
        <v>2.1760299999999999</v>
      </c>
      <c r="Q12" s="251"/>
    </row>
    <row r="13" spans="1:20" s="33" customFormat="1" ht="24.75" customHeight="1" x14ac:dyDescent="0.2">
      <c r="B13" s="951" t="s">
        <v>110</v>
      </c>
      <c r="C13" s="265" t="s">
        <v>107</v>
      </c>
      <c r="D13" s="390">
        <v>9.7247567599999964</v>
      </c>
      <c r="E13" s="390">
        <v>10.81999134</v>
      </c>
      <c r="F13" s="390">
        <v>9.888113247679156</v>
      </c>
      <c r="G13" s="390">
        <v>13.97983342</v>
      </c>
      <c r="H13" s="516">
        <v>10.19825264</v>
      </c>
      <c r="I13" s="516">
        <v>11.5088355</v>
      </c>
      <c r="J13" s="516">
        <v>11.543977340000001</v>
      </c>
      <c r="K13" s="516">
        <v>13.023488169999997</v>
      </c>
      <c r="L13" s="516">
        <v>11.249653819999995</v>
      </c>
      <c r="M13" s="396">
        <v>11.652913560000009</v>
      </c>
      <c r="N13" s="706">
        <v>11.425354350000012</v>
      </c>
      <c r="Q13" s="251"/>
      <c r="R13" s="251"/>
      <c r="S13" s="251"/>
      <c r="T13" s="249"/>
    </row>
    <row r="14" spans="1:20" s="33" customFormat="1" ht="24.75" customHeight="1" x14ac:dyDescent="0.2">
      <c r="B14" s="950"/>
      <c r="C14" s="262" t="s">
        <v>377</v>
      </c>
      <c r="D14" s="389">
        <v>4.3171142499999977</v>
      </c>
      <c r="E14" s="389">
        <v>4.9359209400000026</v>
      </c>
      <c r="F14" s="389">
        <v>5.3433118876799277</v>
      </c>
      <c r="G14" s="389">
        <v>6.4583142400000018</v>
      </c>
      <c r="H14" s="388">
        <v>6.9446891700000002</v>
      </c>
      <c r="I14" s="388">
        <v>5.6101494800000014</v>
      </c>
      <c r="J14" s="388">
        <v>6.0930804800000002</v>
      </c>
      <c r="K14" s="388">
        <v>6.6170355399999998</v>
      </c>
      <c r="L14" s="388">
        <v>7.3991201240846483</v>
      </c>
      <c r="M14" s="337">
        <v>8.6718071559153618</v>
      </c>
      <c r="N14" s="333">
        <v>8.109751829999988</v>
      </c>
      <c r="Q14" s="251"/>
    </row>
    <row r="15" spans="1:20" s="33" customFormat="1" ht="24.75" customHeight="1" x14ac:dyDescent="0.2">
      <c r="B15" s="952"/>
      <c r="C15" s="266" t="s">
        <v>108</v>
      </c>
      <c r="D15" s="391">
        <v>4.0243207616666625</v>
      </c>
      <c r="E15" s="391">
        <v>4.250889287000005</v>
      </c>
      <c r="F15" s="391">
        <v>4.7242217589881008</v>
      </c>
      <c r="G15" s="391">
        <v>4.2064102505454546</v>
      </c>
      <c r="H15" s="391">
        <v>5.1470755999999991</v>
      </c>
      <c r="I15" s="391">
        <v>3.88239264</v>
      </c>
      <c r="J15" s="391">
        <v>4.16664089</v>
      </c>
      <c r="K15" s="391">
        <v>3.5176728299999995</v>
      </c>
      <c r="L15" s="391">
        <v>4.7348641299999983</v>
      </c>
      <c r="M15" s="397">
        <v>5.4350627300000047</v>
      </c>
      <c r="N15" s="707">
        <v>5.8839429600000059</v>
      </c>
      <c r="Q15" s="251"/>
    </row>
    <row r="16" spans="1:20" s="33" customFormat="1" ht="17.25" customHeight="1" x14ac:dyDescent="0.2">
      <c r="B16" s="951" t="s">
        <v>114</v>
      </c>
      <c r="C16" s="264" t="s">
        <v>378</v>
      </c>
      <c r="D16" s="252">
        <v>15.397862639999969</v>
      </c>
      <c r="E16" s="393">
        <v>16.95599052999998</v>
      </c>
      <c r="F16" s="395">
        <v>19.147421840000028</v>
      </c>
      <c r="G16" s="393">
        <v>20.134486680000023</v>
      </c>
      <c r="H16" s="388">
        <v>18.480498999999988</v>
      </c>
      <c r="I16" s="388">
        <v>21.488274590000021</v>
      </c>
      <c r="J16" s="388">
        <v>22.47452383000001</v>
      </c>
      <c r="K16" s="388">
        <v>23.653770660000013</v>
      </c>
      <c r="L16" s="388">
        <v>21.251055369999989</v>
      </c>
      <c r="M16" s="337">
        <v>23.764253470000032</v>
      </c>
      <c r="N16" s="333">
        <v>27.457499059999979</v>
      </c>
      <c r="Q16" s="251"/>
    </row>
    <row r="17" spans="2:20" s="33" customFormat="1" ht="24.75" customHeight="1" x14ac:dyDescent="0.2">
      <c r="B17" s="953"/>
      <c r="C17" s="262" t="s">
        <v>111</v>
      </c>
      <c r="D17" s="389">
        <v>11.857543499999998</v>
      </c>
      <c r="E17" s="389">
        <v>15.966628700000005</v>
      </c>
      <c r="F17" s="389">
        <v>15.310525759599994</v>
      </c>
      <c r="G17" s="389">
        <v>14.855870424001351</v>
      </c>
      <c r="H17" s="388">
        <v>13.539691280000003</v>
      </c>
      <c r="I17" s="388">
        <v>7.2992874399999961</v>
      </c>
      <c r="J17" s="388">
        <v>7.9016765800000002</v>
      </c>
      <c r="K17" s="388">
        <v>5.8349281299999936</v>
      </c>
      <c r="L17" s="388">
        <v>10.43776474</v>
      </c>
      <c r="M17" s="337">
        <v>9.3437632799999939</v>
      </c>
      <c r="N17" s="333">
        <v>8.9619188399999974</v>
      </c>
      <c r="Q17" s="251"/>
      <c r="R17" s="251"/>
      <c r="S17" s="251"/>
      <c r="T17" s="249"/>
    </row>
    <row r="18" spans="2:20" s="33" customFormat="1" ht="24.75" customHeight="1" x14ac:dyDescent="0.2">
      <c r="B18" s="953"/>
      <c r="C18" s="263" t="s">
        <v>112</v>
      </c>
      <c r="D18" s="398">
        <v>7.490310769999998</v>
      </c>
      <c r="E18" s="394">
        <v>9.1591755400000086</v>
      </c>
      <c r="F18" s="394">
        <v>11.095469030000002</v>
      </c>
      <c r="G18" s="394">
        <v>10.953438180000001</v>
      </c>
      <c r="H18" s="398">
        <v>7.0227117500000009</v>
      </c>
      <c r="I18" s="398">
        <v>-0.59334710000000002</v>
      </c>
      <c r="J18" s="398">
        <v>-0.10188483999999999</v>
      </c>
      <c r="K18" s="398">
        <v>-0.67009458999999993</v>
      </c>
      <c r="L18" s="398">
        <v>0</v>
      </c>
      <c r="M18" s="338">
        <v>0</v>
      </c>
      <c r="N18" s="334">
        <v>-0.41286946000000002</v>
      </c>
      <c r="Q18" s="251"/>
    </row>
    <row r="19" spans="2:20" s="33" customFormat="1" ht="24.75" customHeight="1" x14ac:dyDescent="0.2">
      <c r="B19" s="953"/>
      <c r="C19" s="262" t="s">
        <v>113</v>
      </c>
      <c r="D19" s="388">
        <v>5.9889755800000053</v>
      </c>
      <c r="E19" s="392">
        <v>5.3783352900000034</v>
      </c>
      <c r="F19" s="392">
        <v>5.5401754099999954</v>
      </c>
      <c r="G19" s="392">
        <v>6.2457102199999905</v>
      </c>
      <c r="H19" s="388">
        <v>6.59795336</v>
      </c>
      <c r="I19" s="388">
        <v>6.6544690200000023</v>
      </c>
      <c r="J19" s="388">
        <v>6.2690952699999993</v>
      </c>
      <c r="K19" s="388">
        <v>4.2800840299999994</v>
      </c>
      <c r="L19" s="388">
        <v>5.6931923900000108</v>
      </c>
      <c r="M19" s="337">
        <v>6.2409262399999825</v>
      </c>
      <c r="N19" s="333">
        <v>6.2363567399999917</v>
      </c>
      <c r="Q19" s="251"/>
    </row>
    <row r="20" spans="2:20" s="33" customFormat="1" ht="24.75" customHeight="1" x14ac:dyDescent="0.2">
      <c r="B20" s="953"/>
      <c r="C20" s="262" t="s">
        <v>379</v>
      </c>
      <c r="D20" s="388">
        <v>2.7011645599999996</v>
      </c>
      <c r="E20" s="392">
        <v>4.9493964000000013</v>
      </c>
      <c r="F20" s="392">
        <v>6.6431848100000046</v>
      </c>
      <c r="G20" s="392">
        <v>8.3993595200000009</v>
      </c>
      <c r="H20" s="388">
        <v>6.1154870599999995</v>
      </c>
      <c r="I20" s="388">
        <v>8.5374561599999979</v>
      </c>
      <c r="J20" s="388">
        <v>10.06072981</v>
      </c>
      <c r="K20" s="388">
        <v>9.3668429</v>
      </c>
      <c r="L20" s="388">
        <v>7.1370408999999979</v>
      </c>
      <c r="M20" s="337">
        <v>7.6781423000000011</v>
      </c>
      <c r="N20" s="333">
        <v>8.7678750200000035</v>
      </c>
      <c r="Q20" s="251"/>
    </row>
    <row r="21" spans="2:20" ht="24.75" customHeight="1" x14ac:dyDescent="0.2">
      <c r="B21" s="954"/>
      <c r="C21" s="262" t="s">
        <v>46</v>
      </c>
      <c r="D21" s="388">
        <v>3.9080055900000246</v>
      </c>
      <c r="E21" s="392">
        <v>4.5852042999999973</v>
      </c>
      <c r="F21" s="392">
        <v>7.6722004003999835</v>
      </c>
      <c r="G21" s="392">
        <v>2.9069702000000111</v>
      </c>
      <c r="H21" s="388">
        <v>3.897188589999999</v>
      </c>
      <c r="I21" s="388">
        <v>4.6901889999999957</v>
      </c>
      <c r="J21" s="388">
        <v>6.0460764600000001</v>
      </c>
      <c r="K21" s="388">
        <v>4.8469875199999981</v>
      </c>
      <c r="L21" s="388">
        <v>4.4449892100000055</v>
      </c>
      <c r="M21" s="337">
        <v>5.7185073800000046</v>
      </c>
      <c r="N21" s="333">
        <v>7.6650106600000045</v>
      </c>
      <c r="Q21" s="251"/>
    </row>
    <row r="22" spans="2:20" s="33" customFormat="1" ht="24.75" customHeight="1" x14ac:dyDescent="0.2">
      <c r="B22" s="267" t="s">
        <v>380</v>
      </c>
      <c r="C22" s="268"/>
      <c r="D22" s="485">
        <v>6.2146386199999997</v>
      </c>
      <c r="E22" s="485">
        <v>8.8416043300000009</v>
      </c>
      <c r="F22" s="485">
        <v>11.015242742574257</v>
      </c>
      <c r="G22" s="485">
        <v>13.60615482</v>
      </c>
      <c r="H22" s="485">
        <v>11.994999999999999</v>
      </c>
      <c r="I22" s="485">
        <v>15.875</v>
      </c>
      <c r="J22" s="485">
        <v>17.513000000000002</v>
      </c>
      <c r="K22" s="485">
        <v>18.486999999999998</v>
      </c>
      <c r="L22" s="485">
        <v>16.956</v>
      </c>
      <c r="M22" s="486">
        <v>20.922000000000001</v>
      </c>
      <c r="N22" s="708">
        <v>19.670000000000002</v>
      </c>
      <c r="Q22" s="251"/>
    </row>
    <row r="23" spans="2:20" ht="24.75" customHeight="1" x14ac:dyDescent="0.2">
      <c r="B23" s="683" t="s">
        <v>115</v>
      </c>
      <c r="C23" s="684"/>
      <c r="D23" s="685">
        <f>SUM(D10:D17)+D19+D20+D21+D22</f>
        <v>82.408374621666667</v>
      </c>
      <c r="E23" s="685">
        <f>SUM(E10:E17)+E19+E20+E21+E22</f>
        <v>109.73802242699999</v>
      </c>
      <c r="F23" s="685">
        <f>SUM(F10:F17)+F19+F20+F21+F22</f>
        <v>112.82027663924219</v>
      </c>
      <c r="G23" s="685">
        <f>SUM(G10:G17)+G19+G20+G21+G22</f>
        <v>126.68597754454684</v>
      </c>
      <c r="H23" s="685">
        <f>SUM(H10:H17)+H19+H20+H21+H22</f>
        <v>112.74182727999998</v>
      </c>
      <c r="I23" s="685">
        <f t="shared" ref="I23:N23" si="0">SUM(I10:I17)+SUM(I19:I22)</f>
        <v>121.09410355000003</v>
      </c>
      <c r="J23" s="685">
        <f t="shared" si="0"/>
        <v>125.19707261000001</v>
      </c>
      <c r="K23" s="685">
        <f t="shared" si="0"/>
        <v>125.82653175000002</v>
      </c>
      <c r="L23" s="685">
        <f t="shared" si="0"/>
        <v>121.64726466408466</v>
      </c>
      <c r="M23" s="686">
        <f t="shared" si="0"/>
        <v>141.40592700591537</v>
      </c>
      <c r="N23" s="709">
        <f t="shared" si="0"/>
        <v>139.98552750000002</v>
      </c>
      <c r="Q23" s="251"/>
    </row>
    <row r="24" spans="2:20" ht="15" customHeight="1" x14ac:dyDescent="0.2">
      <c r="B24" s="304"/>
      <c r="C24" s="304"/>
      <c r="D24" s="303"/>
      <c r="E24" s="303"/>
      <c r="F24" s="303"/>
      <c r="G24" s="303"/>
      <c r="H24" s="303"/>
      <c r="I24" s="303"/>
      <c r="J24" s="303"/>
      <c r="K24" s="303"/>
      <c r="L24" s="303"/>
      <c r="M24" s="303"/>
      <c r="N24" s="303"/>
    </row>
    <row r="25" spans="2:20" ht="28.5" customHeight="1" x14ac:dyDescent="0.2">
      <c r="B25" s="955" t="s">
        <v>236</v>
      </c>
      <c r="C25" s="955"/>
      <c r="D25" s="955"/>
      <c r="E25" s="955"/>
      <c r="F25" s="955"/>
      <c r="G25" s="955"/>
      <c r="H25" s="955"/>
      <c r="I25" s="955"/>
      <c r="J25" s="955"/>
      <c r="K25" s="955"/>
      <c r="L25" s="955"/>
      <c r="M25" s="955"/>
      <c r="N25" s="955"/>
    </row>
    <row r="26" spans="2:20" ht="11.25" customHeight="1" x14ac:dyDescent="0.2"/>
    <row r="27" spans="2:20" x14ac:dyDescent="0.2">
      <c r="B27" s="247"/>
      <c r="C27" s="247"/>
      <c r="D27" s="248"/>
      <c r="E27" s="248"/>
      <c r="F27" s="248"/>
      <c r="G27" s="248"/>
      <c r="H27" s="248"/>
      <c r="I27" s="248"/>
      <c r="J27" s="562"/>
      <c r="K27" s="691"/>
      <c r="L27" s="741"/>
      <c r="M27" s="833"/>
      <c r="N27" s="248"/>
    </row>
    <row r="28" spans="2:20" ht="34.5" customHeight="1" x14ac:dyDescent="0.2">
      <c r="B28" s="248"/>
      <c r="C28" s="248"/>
      <c r="D28" s="639"/>
      <c r="E28" s="639"/>
      <c r="F28" s="639"/>
      <c r="G28" s="639"/>
      <c r="H28" s="639"/>
      <c r="I28" s="639"/>
      <c r="J28" s="639"/>
      <c r="K28" s="639"/>
      <c r="L28" s="639"/>
      <c r="M28" s="639"/>
      <c r="N28" s="248"/>
    </row>
    <row r="29" spans="2:20" x14ac:dyDescent="0.2">
      <c r="B29" s="248"/>
      <c r="C29" s="248"/>
      <c r="D29" s="248"/>
      <c r="E29" s="248"/>
      <c r="F29" s="248"/>
      <c r="G29" s="248"/>
      <c r="H29" s="248"/>
      <c r="I29" s="248"/>
      <c r="J29" s="562"/>
      <c r="K29" s="691"/>
      <c r="L29" s="741"/>
      <c r="M29" s="833"/>
      <c r="N29" s="248"/>
    </row>
    <row r="30" spans="2:20" ht="24.75" customHeight="1" x14ac:dyDescent="0.2">
      <c r="B30" s="248"/>
      <c r="C30" s="248"/>
      <c r="D30" s="248"/>
      <c r="E30" s="248"/>
      <c r="F30" s="248"/>
      <c r="G30" s="248"/>
      <c r="H30" s="248"/>
      <c r="I30" s="248"/>
      <c r="J30" s="562"/>
      <c r="K30" s="691"/>
      <c r="L30" s="741"/>
      <c r="M30" s="833"/>
      <c r="N30" s="248"/>
    </row>
  </sheetData>
  <mergeCells count="5">
    <mergeCell ref="B5:N5"/>
    <mergeCell ref="B10:B12"/>
    <mergeCell ref="B13:B15"/>
    <mergeCell ref="B16:B21"/>
    <mergeCell ref="B25:N25"/>
  </mergeCells>
  <hyperlinks>
    <hyperlink ref="N2" location="'Cover '!A1" display="Back to Cover" xr:uid="{C5603B20-4257-40A1-AF78-FB7D46DFECC0}"/>
  </hyperlinks>
  <pageMargins left="0.7" right="0.7" top="0.75" bottom="0.75" header="0.3" footer="0.3"/>
  <pageSetup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F27E-4884-4F42-9563-FB4DB840E220}">
  <dimension ref="A1:R32"/>
  <sheetViews>
    <sheetView showGridLines="0" view="pageBreakPreview" zoomScale="80" zoomScaleNormal="90" zoomScaleSheetLayoutView="80" workbookViewId="0">
      <selection activeCell="T20" sqref="T20"/>
    </sheetView>
  </sheetViews>
  <sheetFormatPr defaultColWidth="9.140625" defaultRowHeight="15.75" x14ac:dyDescent="0.2"/>
  <cols>
    <col min="1" max="1" width="2.42578125" style="31" customWidth="1"/>
    <col min="2" max="2" width="61.28515625" style="31" customWidth="1"/>
    <col min="3" max="13" width="15.85546875" style="31" customWidth="1"/>
    <col min="14" max="14" width="2.42578125" style="31" customWidth="1"/>
    <col min="15" max="16384" width="9.140625" style="31"/>
  </cols>
  <sheetData>
    <row r="1" spans="1:18" ht="15.75" customHeight="1" x14ac:dyDescent="0.2"/>
    <row r="2" spans="1:18" ht="15.75" customHeight="1" x14ac:dyDescent="0.2">
      <c r="C2" s="32"/>
      <c r="D2" s="32"/>
      <c r="E2" s="32"/>
      <c r="F2" s="32"/>
      <c r="G2" s="32"/>
      <c r="H2" s="32"/>
      <c r="I2" s="32"/>
      <c r="J2" s="32"/>
      <c r="K2" s="32"/>
      <c r="L2" s="32"/>
      <c r="M2" s="32" t="s">
        <v>21</v>
      </c>
    </row>
    <row r="3" spans="1:18" ht="15.75" customHeight="1" x14ac:dyDescent="0.2"/>
    <row r="4" spans="1:18" ht="15.75" customHeight="1" x14ac:dyDescent="0.2"/>
    <row r="5" spans="1:18" s="75" customFormat="1" ht="26.25" x14ac:dyDescent="0.2">
      <c r="A5" s="74"/>
      <c r="B5" s="938" t="s">
        <v>296</v>
      </c>
      <c r="C5" s="938"/>
      <c r="D5" s="945"/>
      <c r="E5" s="945"/>
      <c r="F5" s="945"/>
      <c r="G5" s="945"/>
      <c r="H5" s="945"/>
      <c r="I5" s="945"/>
      <c r="J5" s="945"/>
      <c r="K5" s="945"/>
      <c r="L5" s="945"/>
      <c r="M5" s="945"/>
    </row>
    <row r="6" spans="1:18" s="77" customFormat="1" ht="9" customHeight="1" x14ac:dyDescent="0.2">
      <c r="A6" s="74"/>
      <c r="B6" s="76"/>
    </row>
    <row r="7" spans="1:18" s="77" customFormat="1" ht="16.5" customHeight="1" x14ac:dyDescent="0.2">
      <c r="A7" s="74"/>
      <c r="B7" s="69" t="s">
        <v>0</v>
      </c>
    </row>
    <row r="8" spans="1:18" s="77" customFormat="1" ht="22.5" customHeight="1" x14ac:dyDescent="0.2">
      <c r="A8" s="74"/>
      <c r="B8" s="139" t="s">
        <v>439</v>
      </c>
      <c r="C8" s="185" t="s">
        <v>77</v>
      </c>
      <c r="D8" s="185" t="s">
        <v>83</v>
      </c>
      <c r="E8" s="185" t="s">
        <v>88</v>
      </c>
      <c r="F8" s="185" t="s">
        <v>91</v>
      </c>
      <c r="G8" s="336" t="s">
        <v>95</v>
      </c>
      <c r="H8" s="185" t="s">
        <v>163</v>
      </c>
      <c r="I8" s="336" t="s">
        <v>218</v>
      </c>
      <c r="J8" s="336" t="s">
        <v>227</v>
      </c>
      <c r="K8" s="336" t="s">
        <v>250</v>
      </c>
      <c r="L8" s="335" t="s">
        <v>256</v>
      </c>
      <c r="M8" s="332" t="s">
        <v>274</v>
      </c>
    </row>
    <row r="9" spans="1:18" s="77" customFormat="1" ht="22.5" customHeight="1" x14ac:dyDescent="0.2">
      <c r="A9" s="74"/>
      <c r="B9" s="165" t="s">
        <v>297</v>
      </c>
      <c r="C9" s="360">
        <v>96.846999999999994</v>
      </c>
      <c r="D9" s="360">
        <v>96.47999999999999</v>
      </c>
      <c r="E9" s="360">
        <v>95.391999999999996</v>
      </c>
      <c r="F9" s="360">
        <v>91.195999999999998</v>
      </c>
      <c r="G9" s="360">
        <v>91.200999999999993</v>
      </c>
      <c r="H9" s="360">
        <v>94.555000000000007</v>
      </c>
      <c r="I9" s="360">
        <v>101.38835</v>
      </c>
      <c r="J9" s="360">
        <v>101.642</v>
      </c>
      <c r="K9" s="360">
        <v>93.546999999999997</v>
      </c>
      <c r="L9" s="246">
        <v>94.395492999999988</v>
      </c>
      <c r="M9" s="575">
        <v>94.291753999999997</v>
      </c>
    </row>
    <row r="10" spans="1:18" s="77" customFormat="1" ht="22.5" customHeight="1" x14ac:dyDescent="0.2">
      <c r="A10" s="74"/>
      <c r="B10" s="165" t="s">
        <v>298</v>
      </c>
      <c r="C10" s="118">
        <v>0</v>
      </c>
      <c r="D10" s="118">
        <v>40</v>
      </c>
      <c r="E10" s="118">
        <v>0</v>
      </c>
      <c r="F10" s="118">
        <v>-15.199000000000002</v>
      </c>
      <c r="G10" s="118">
        <v>0</v>
      </c>
      <c r="H10" s="360">
        <v>6.6</v>
      </c>
      <c r="I10" s="360">
        <v>19.877649999999999</v>
      </c>
      <c r="J10" s="360">
        <v>30.314</v>
      </c>
      <c r="K10" s="360">
        <v>3.1720000000000002</v>
      </c>
      <c r="L10" s="246">
        <v>2.1745070000000002</v>
      </c>
      <c r="M10" s="575">
        <v>1.066246</v>
      </c>
    </row>
    <row r="11" spans="1:18" s="77" customFormat="1" ht="22.5" customHeight="1" x14ac:dyDescent="0.2">
      <c r="A11" s="74"/>
      <c r="B11" s="165" t="s">
        <v>418</v>
      </c>
      <c r="C11" s="360"/>
      <c r="D11" s="360"/>
      <c r="E11" s="360"/>
      <c r="F11" s="360"/>
      <c r="G11" s="360"/>
      <c r="H11" s="360"/>
      <c r="I11" s="360"/>
      <c r="J11" s="360"/>
      <c r="K11" s="360"/>
      <c r="L11" s="246"/>
      <c r="M11" s="575">
        <v>-15</v>
      </c>
    </row>
    <row r="12" spans="1:18" s="77" customFormat="1" ht="22.5" customHeight="1" x14ac:dyDescent="0.2">
      <c r="A12" s="74"/>
      <c r="B12" s="687" t="s">
        <v>115</v>
      </c>
      <c r="C12" s="688">
        <f>C9+C10+C11</f>
        <v>96.846999999999994</v>
      </c>
      <c r="D12" s="688">
        <f t="shared" ref="D12:L12" si="0">D9+D10+D11</f>
        <v>136.47999999999999</v>
      </c>
      <c r="E12" s="688">
        <f t="shared" si="0"/>
        <v>95.391999999999996</v>
      </c>
      <c r="F12" s="688">
        <f t="shared" si="0"/>
        <v>75.997</v>
      </c>
      <c r="G12" s="688">
        <f t="shared" si="0"/>
        <v>91.200999999999993</v>
      </c>
      <c r="H12" s="688">
        <f t="shared" si="0"/>
        <v>101.155</v>
      </c>
      <c r="I12" s="688">
        <f t="shared" si="0"/>
        <v>121.26600000000001</v>
      </c>
      <c r="J12" s="688">
        <f t="shared" si="0"/>
        <v>131.95599999999999</v>
      </c>
      <c r="K12" s="688">
        <f t="shared" si="0"/>
        <v>96.718999999999994</v>
      </c>
      <c r="L12" s="689">
        <f t="shared" si="0"/>
        <v>96.57</v>
      </c>
      <c r="M12" s="690">
        <f>M9+M10+M11</f>
        <v>80.358000000000004</v>
      </c>
    </row>
    <row r="13" spans="1:18" ht="15" customHeight="1" x14ac:dyDescent="0.2"/>
    <row r="14" spans="1:18" s="30" customFormat="1" ht="33.75" customHeight="1" x14ac:dyDescent="0.2">
      <c r="B14" s="139" t="s">
        <v>440</v>
      </c>
      <c r="C14" s="185" t="s">
        <v>77</v>
      </c>
      <c r="D14" s="185" t="s">
        <v>83</v>
      </c>
      <c r="E14" s="185" t="s">
        <v>88</v>
      </c>
      <c r="F14" s="185" t="s">
        <v>91</v>
      </c>
      <c r="G14" s="336" t="s">
        <v>95</v>
      </c>
      <c r="H14" s="185" t="s">
        <v>163</v>
      </c>
      <c r="I14" s="336" t="s">
        <v>218</v>
      </c>
      <c r="J14" s="336" t="s">
        <v>227</v>
      </c>
      <c r="K14" s="336" t="s">
        <v>250</v>
      </c>
      <c r="L14" s="335" t="s">
        <v>256</v>
      </c>
      <c r="M14" s="332" t="s">
        <v>274</v>
      </c>
    </row>
    <row r="15" spans="1:18" s="33" customFormat="1" ht="24.75" customHeight="1" x14ac:dyDescent="0.2">
      <c r="B15" s="153" t="s">
        <v>116</v>
      </c>
      <c r="C15" s="257">
        <v>8.0029406700000028</v>
      </c>
      <c r="D15" s="257">
        <v>8.6948270900000004</v>
      </c>
      <c r="E15" s="257">
        <v>7.5117120800000041</v>
      </c>
      <c r="F15" s="257">
        <v>9.8490140099999941</v>
      </c>
      <c r="G15" s="257">
        <v>9.1491827900000011</v>
      </c>
      <c r="H15" s="388">
        <v>8.9277500299999968</v>
      </c>
      <c r="I15" s="388">
        <v>9.1058882199999971</v>
      </c>
      <c r="J15" s="388">
        <v>8.7774162600000007</v>
      </c>
      <c r="K15" s="388">
        <v>8.0531509700000008</v>
      </c>
      <c r="L15" s="337">
        <v>7.6713768600000005</v>
      </c>
      <c r="M15" s="333">
        <v>8.8783103200000024</v>
      </c>
      <c r="O15" s="249"/>
      <c r="P15" s="897"/>
      <c r="Q15" s="524"/>
      <c r="R15" s="249"/>
    </row>
    <row r="16" spans="1:18" s="33" customFormat="1" ht="24.75" customHeight="1" x14ac:dyDescent="0.2">
      <c r="B16" s="153" t="s">
        <v>224</v>
      </c>
      <c r="C16" s="260">
        <v>10.167641020728315</v>
      </c>
      <c r="D16" s="260">
        <v>12.833815877337868</v>
      </c>
      <c r="E16" s="260">
        <v>12.708129948446237</v>
      </c>
      <c r="F16" s="260">
        <v>5.7052206574286126</v>
      </c>
      <c r="G16" s="260">
        <v>12.23865148689897</v>
      </c>
      <c r="H16" s="388">
        <v>7.0013185064323906</v>
      </c>
      <c r="I16" s="388">
        <v>10.427544325253043</v>
      </c>
      <c r="J16" s="388">
        <v>2.1857145914156173</v>
      </c>
      <c r="K16" s="388">
        <v>8.4105638899999988</v>
      </c>
      <c r="L16" s="337">
        <v>8.7321245800000007</v>
      </c>
      <c r="M16" s="333">
        <v>8.8831526899999993</v>
      </c>
      <c r="O16" s="249"/>
      <c r="P16" s="897"/>
      <c r="Q16" s="524"/>
      <c r="R16" s="249"/>
    </row>
    <row r="17" spans="2:18" s="33" customFormat="1" ht="24.75" customHeight="1" x14ac:dyDescent="0.2">
      <c r="B17" s="153" t="s">
        <v>381</v>
      </c>
      <c r="C17" s="260">
        <v>8.9708021099999993</v>
      </c>
      <c r="D17" s="260">
        <v>0.90708578000000273</v>
      </c>
      <c r="E17" s="260">
        <v>4.2746914752457865</v>
      </c>
      <c r="F17" s="260">
        <v>11.531723584754204</v>
      </c>
      <c r="G17" s="260">
        <v>1.4526504999999998</v>
      </c>
      <c r="H17" s="388">
        <v>4.7193650199999997</v>
      </c>
      <c r="I17" s="388">
        <v>6.7336891099999994</v>
      </c>
      <c r="J17" s="388">
        <v>3.9512580700000024</v>
      </c>
      <c r="K17" s="388">
        <v>2.4969789900000006</v>
      </c>
      <c r="L17" s="337">
        <v>4.6966844500000002</v>
      </c>
      <c r="M17" s="333">
        <v>4.6484115300000015</v>
      </c>
      <c r="O17" s="249"/>
      <c r="P17" s="897"/>
      <c r="Q17" s="524"/>
      <c r="R17" s="249"/>
    </row>
    <row r="18" spans="2:18" s="33" customFormat="1" ht="24.75" customHeight="1" x14ac:dyDescent="0.2">
      <c r="B18" s="153" t="s">
        <v>117</v>
      </c>
      <c r="C18" s="257">
        <v>7.1288422299999992</v>
      </c>
      <c r="D18" s="257">
        <v>8.4087014500000024</v>
      </c>
      <c r="E18" s="257">
        <v>6.8763836799999991</v>
      </c>
      <c r="F18" s="257">
        <v>7.656120569999997</v>
      </c>
      <c r="G18" s="257">
        <v>5.6960382899999997</v>
      </c>
      <c r="H18" s="388">
        <v>6.8272304900000025</v>
      </c>
      <c r="I18" s="388">
        <v>5.617365559999997</v>
      </c>
      <c r="J18" s="388">
        <v>7.3490312100000024</v>
      </c>
      <c r="K18" s="388">
        <v>5.5108601699999999</v>
      </c>
      <c r="L18" s="337">
        <v>6.3258532700000023</v>
      </c>
      <c r="M18" s="333">
        <v>5.9950702399999996</v>
      </c>
      <c r="O18" s="249"/>
      <c r="P18" s="897"/>
      <c r="Q18" s="524"/>
      <c r="R18" s="249"/>
    </row>
    <row r="19" spans="2:18" s="33" customFormat="1" ht="24.75" customHeight="1" x14ac:dyDescent="0.2">
      <c r="B19" s="155" t="s">
        <v>118</v>
      </c>
      <c r="C19" s="257">
        <v>13.422657309968001</v>
      </c>
      <c r="D19" s="257">
        <v>17.219073886303999</v>
      </c>
      <c r="E19" s="257">
        <v>16.401101354178401</v>
      </c>
      <c r="F19" s="257">
        <v>18.270916055549602</v>
      </c>
      <c r="G19" s="257">
        <v>15.944120112365024</v>
      </c>
      <c r="H19" s="388">
        <v>16.34322740811162</v>
      </c>
      <c r="I19" s="388">
        <v>13.387627021738986</v>
      </c>
      <c r="J19" s="388">
        <v>13.785119617784353</v>
      </c>
      <c r="K19" s="388">
        <v>20.148815599999999</v>
      </c>
      <c r="L19" s="337">
        <v>17.595336230000001</v>
      </c>
      <c r="M19" s="333">
        <v>9.3121021699999957</v>
      </c>
      <c r="O19" s="249"/>
      <c r="P19" s="897"/>
      <c r="Q19" s="524"/>
      <c r="R19" s="249"/>
    </row>
    <row r="20" spans="2:18" s="33" customFormat="1" ht="24.75" customHeight="1" x14ac:dyDescent="0.2">
      <c r="B20" s="153" t="s">
        <v>119</v>
      </c>
      <c r="C20" s="257">
        <v>10.877537909999999</v>
      </c>
      <c r="D20" s="257">
        <v>11.587058059999999</v>
      </c>
      <c r="E20" s="257">
        <v>12.717719359999997</v>
      </c>
      <c r="F20" s="257">
        <v>13.036262280000003</v>
      </c>
      <c r="G20" s="257">
        <v>12.423029509999999</v>
      </c>
      <c r="H20" s="388">
        <v>14.65350771</v>
      </c>
      <c r="I20" s="388">
        <v>16.840640090000001</v>
      </c>
      <c r="J20" s="388">
        <v>14.821558710000005</v>
      </c>
      <c r="K20" s="388">
        <v>11.79499994</v>
      </c>
      <c r="L20" s="337">
        <v>6.2131720600000016</v>
      </c>
      <c r="M20" s="333">
        <v>9.0040859999999974</v>
      </c>
      <c r="O20" s="249"/>
      <c r="P20" s="897"/>
      <c r="Q20" s="524"/>
      <c r="R20" s="249"/>
    </row>
    <row r="21" spans="2:18" s="33" customFormat="1" ht="24.75" customHeight="1" x14ac:dyDescent="0.2">
      <c r="B21" s="153" t="s">
        <v>419</v>
      </c>
      <c r="C21" s="257">
        <v>13.127426420000001</v>
      </c>
      <c r="D21" s="257">
        <v>17.396797089999996</v>
      </c>
      <c r="E21" s="257">
        <v>31.998736390000015</v>
      </c>
      <c r="F21" s="257">
        <v>31.382585169999999</v>
      </c>
      <c r="G21" s="257">
        <v>17.186469950000003</v>
      </c>
      <c r="H21" s="388">
        <v>18.078523340000004</v>
      </c>
      <c r="I21" s="388">
        <v>19.585991219999997</v>
      </c>
      <c r="J21" s="257">
        <v>26.525910279999991</v>
      </c>
      <c r="K21" s="388">
        <v>16.1404703</v>
      </c>
      <c r="L21" s="337">
        <v>17.173024129999995</v>
      </c>
      <c r="M21" s="333">
        <v>19.223604030000011</v>
      </c>
      <c r="O21" s="249"/>
      <c r="P21" s="897"/>
      <c r="Q21" s="524"/>
      <c r="R21" s="249"/>
    </row>
    <row r="22" spans="2:18" s="33" customFormat="1" ht="24.75" customHeight="1" x14ac:dyDescent="0.2">
      <c r="B22" s="153" t="s">
        <v>120</v>
      </c>
      <c r="C22" s="257">
        <v>15.66891403</v>
      </c>
      <c r="D22" s="257">
        <v>11.424382914000009</v>
      </c>
      <c r="E22" s="257">
        <v>4.8637167680157489</v>
      </c>
      <c r="F22" s="257">
        <v>6.5194746219842443</v>
      </c>
      <c r="G22" s="257">
        <v>7.2288894100000105</v>
      </c>
      <c r="H22" s="388">
        <v>10.601059809999992</v>
      </c>
      <c r="I22" s="388">
        <v>3.4865600999999913</v>
      </c>
      <c r="J22" s="257">
        <v>6.4866712500000148</v>
      </c>
      <c r="K22" s="388">
        <v>10.601301599999999</v>
      </c>
      <c r="L22" s="337">
        <v>10.020759660000005</v>
      </c>
      <c r="M22" s="333">
        <v>7.7644801400000052</v>
      </c>
      <c r="O22" s="249"/>
      <c r="P22" s="897"/>
      <c r="Q22" s="524"/>
      <c r="R22" s="249"/>
    </row>
    <row r="23" spans="2:18" s="33" customFormat="1" ht="24.75" customHeight="1" x14ac:dyDescent="0.2">
      <c r="B23" s="154" t="s">
        <v>425</v>
      </c>
      <c r="C23" s="85">
        <f t="shared" ref="C23:L23" si="1">SUM(C15:C22)</f>
        <v>87.366761700696316</v>
      </c>
      <c r="D23" s="85">
        <f t="shared" si="1"/>
        <v>88.471742147641876</v>
      </c>
      <c r="E23" s="85">
        <f t="shared" si="1"/>
        <v>97.35219105588618</v>
      </c>
      <c r="F23" s="85">
        <f t="shared" si="1"/>
        <v>103.95131694971666</v>
      </c>
      <c r="G23" s="85">
        <f t="shared" si="1"/>
        <v>81.31903204926401</v>
      </c>
      <c r="H23" s="85">
        <f t="shared" si="1"/>
        <v>87.151982314544014</v>
      </c>
      <c r="I23" s="85">
        <f t="shared" si="1"/>
        <v>85.18530564699202</v>
      </c>
      <c r="J23" s="85">
        <f t="shared" si="1"/>
        <v>83.882679989199985</v>
      </c>
      <c r="K23" s="85">
        <f t="shared" si="1"/>
        <v>83.157141460000005</v>
      </c>
      <c r="L23" s="344">
        <f t="shared" si="1"/>
        <v>78.428331240000006</v>
      </c>
      <c r="M23" s="339">
        <f>SUM(M15:M22)</f>
        <v>73.709217120000019</v>
      </c>
      <c r="O23" s="249"/>
      <c r="P23" s="897"/>
      <c r="Q23" s="524"/>
      <c r="R23" s="249"/>
    </row>
    <row r="24" spans="2:18" ht="24.75" customHeight="1" x14ac:dyDescent="0.2">
      <c r="B24" s="34" t="s">
        <v>294</v>
      </c>
      <c r="C24" s="257"/>
      <c r="D24" s="257"/>
      <c r="E24" s="257"/>
      <c r="F24" s="257"/>
      <c r="G24" s="257"/>
      <c r="H24" s="388"/>
      <c r="I24" s="388"/>
      <c r="J24" s="388"/>
      <c r="K24" s="388"/>
      <c r="L24" s="337"/>
      <c r="M24" s="333">
        <v>15.5</v>
      </c>
      <c r="O24" s="249"/>
      <c r="P24" s="897"/>
      <c r="Q24" s="524"/>
      <c r="R24" s="249"/>
    </row>
    <row r="25" spans="2:18" s="33" customFormat="1" ht="24.75" customHeight="1" x14ac:dyDescent="0.2">
      <c r="B25" s="687" t="s">
        <v>115</v>
      </c>
      <c r="C25" s="688">
        <f t="shared" ref="C25:K25" si="2">C23</f>
        <v>87.366761700696316</v>
      </c>
      <c r="D25" s="688">
        <f t="shared" si="2"/>
        <v>88.471742147641876</v>
      </c>
      <c r="E25" s="688">
        <f t="shared" si="2"/>
        <v>97.35219105588618</v>
      </c>
      <c r="F25" s="688">
        <f t="shared" si="2"/>
        <v>103.95131694971666</v>
      </c>
      <c r="G25" s="688">
        <f t="shared" si="2"/>
        <v>81.31903204926401</v>
      </c>
      <c r="H25" s="688">
        <f t="shared" si="2"/>
        <v>87.151982314544014</v>
      </c>
      <c r="I25" s="688">
        <f t="shared" si="2"/>
        <v>85.18530564699202</v>
      </c>
      <c r="J25" s="688">
        <f t="shared" si="2"/>
        <v>83.882679989199985</v>
      </c>
      <c r="K25" s="688">
        <f t="shared" si="2"/>
        <v>83.157141460000005</v>
      </c>
      <c r="L25" s="689">
        <f>L23</f>
        <v>78.428331240000006</v>
      </c>
      <c r="M25" s="690">
        <f>SUM(M23:M24)</f>
        <v>89.209217120000019</v>
      </c>
      <c r="O25" s="249"/>
      <c r="P25" s="897"/>
      <c r="Q25" s="524"/>
      <c r="R25" s="249"/>
    </row>
    <row r="26" spans="2:18" ht="15" customHeight="1" x14ac:dyDescent="0.2">
      <c r="B26" s="304"/>
      <c r="C26" s="304"/>
      <c r="D26" s="303"/>
      <c r="E26" s="303"/>
      <c r="F26" s="303"/>
      <c r="G26" s="303"/>
      <c r="H26" s="303"/>
      <c r="I26" s="303"/>
      <c r="J26" s="303"/>
      <c r="K26" s="303"/>
      <c r="L26" s="303"/>
      <c r="M26" s="303"/>
      <c r="N26" s="303"/>
      <c r="O26" s="249"/>
    </row>
    <row r="27" spans="2:18" ht="17.25" customHeight="1" x14ac:dyDescent="0.2">
      <c r="B27" s="955" t="s">
        <v>237</v>
      </c>
      <c r="C27" s="955"/>
      <c r="D27" s="955"/>
      <c r="E27" s="955"/>
      <c r="F27" s="955"/>
      <c r="G27" s="955"/>
      <c r="H27" s="955"/>
      <c r="I27" s="955"/>
      <c r="J27" s="955"/>
      <c r="K27" s="955"/>
      <c r="L27" s="955"/>
      <c r="M27" s="955"/>
      <c r="N27" s="955"/>
    </row>
    <row r="28" spans="2:18" ht="17.25" customHeight="1" x14ac:dyDescent="0.2">
      <c r="B28" s="874" t="s">
        <v>420</v>
      </c>
      <c r="C28" s="919"/>
      <c r="D28" s="919"/>
      <c r="E28" s="919"/>
      <c r="F28" s="919"/>
      <c r="G28" s="919"/>
      <c r="H28" s="919"/>
      <c r="I28" s="919"/>
      <c r="J28" s="919"/>
      <c r="K28" s="919"/>
      <c r="L28" s="919"/>
      <c r="M28" s="919"/>
      <c r="N28" s="919"/>
    </row>
    <row r="29" spans="2:18" ht="17.25" customHeight="1" x14ac:dyDescent="0.2">
      <c r="B29" s="956" t="s">
        <v>421</v>
      </c>
      <c r="C29" s="956"/>
      <c r="D29" s="956"/>
      <c r="E29" s="956"/>
      <c r="F29" s="956"/>
      <c r="G29" s="956"/>
      <c r="H29" s="956"/>
      <c r="I29" s="956"/>
      <c r="J29" s="956"/>
      <c r="K29" s="956"/>
      <c r="L29" s="956"/>
      <c r="M29" s="956"/>
    </row>
    <row r="30" spans="2:18" ht="15" customHeight="1" x14ac:dyDescent="0.2">
      <c r="B30" s="248"/>
      <c r="C30" s="248"/>
      <c r="D30" s="248"/>
      <c r="E30" s="248"/>
      <c r="F30" s="248"/>
      <c r="G30" s="248"/>
      <c r="H30" s="248"/>
      <c r="I30" s="562"/>
      <c r="J30" s="691"/>
      <c r="K30" s="741"/>
      <c r="L30" s="833"/>
      <c r="M30" s="248"/>
    </row>
    <row r="31" spans="2:18" x14ac:dyDescent="0.2">
      <c r="B31" s="248"/>
      <c r="C31" s="639"/>
      <c r="D31" s="639"/>
      <c r="E31" s="639"/>
      <c r="F31" s="639"/>
      <c r="G31" s="639"/>
      <c r="H31" s="639"/>
      <c r="I31" s="639"/>
      <c r="J31" s="639"/>
      <c r="K31" s="639"/>
      <c r="L31" s="639"/>
      <c r="M31" s="248"/>
    </row>
    <row r="32" spans="2:18" ht="24.75" customHeight="1" x14ac:dyDescent="0.2">
      <c r="B32" s="248"/>
      <c r="C32" s="248"/>
      <c r="D32" s="734"/>
      <c r="E32" s="248"/>
      <c r="F32" s="248"/>
      <c r="G32" s="248"/>
      <c r="H32" s="248"/>
      <c r="I32" s="562"/>
      <c r="J32" s="691"/>
      <c r="K32" s="741"/>
      <c r="L32" s="833"/>
      <c r="M32" s="248"/>
    </row>
  </sheetData>
  <mergeCells count="3">
    <mergeCell ref="B5:M5"/>
    <mergeCell ref="B27:N27"/>
    <mergeCell ref="B29:M29"/>
  </mergeCells>
  <hyperlinks>
    <hyperlink ref="M2" location="'Cover '!A1" display="Back to Cover" xr:uid="{7D25B963-41F9-47CA-8282-B5E2D66E19C1}"/>
  </hyperlinks>
  <pageMargins left="0.7" right="0.7" top="0.75" bottom="0.75" header="0.3" footer="0.3"/>
  <pageSetup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21</vt:i4>
      </vt:variant>
    </vt:vector>
  </HeadingPairs>
  <TitlesOfParts>
    <vt:vector size="37" baseType="lpstr">
      <vt:lpstr>Cover </vt:lpstr>
      <vt:lpstr>Financial highlights</vt:lpstr>
      <vt:lpstr>EPS calculations</vt:lpstr>
      <vt:lpstr>Balance sheet</vt:lpstr>
      <vt:lpstr> Analysis of selected BS items</vt:lpstr>
      <vt:lpstr>PL</vt:lpstr>
      <vt:lpstr>NII</vt:lpstr>
      <vt:lpstr>NFI</vt:lpstr>
      <vt:lpstr>OPEX</vt:lpstr>
      <vt:lpstr>PL segment view</vt:lpstr>
      <vt:lpstr>Performing loans</vt:lpstr>
      <vt:lpstr>Loan portfolio quality</vt:lpstr>
      <vt:lpstr>IFRS9 stages</vt:lpstr>
      <vt:lpstr>NPE flow decomposition</vt:lpstr>
      <vt:lpstr>Capital adequacy</vt:lpstr>
      <vt:lpstr>Other information</vt:lpstr>
      <vt:lpstr>NPE_flow_decomposition</vt:lpstr>
      <vt:lpstr>' Analysis of selected BS items'!Print_Area</vt:lpstr>
      <vt:lpstr>'Balance sheet'!Print_Area</vt:lpstr>
      <vt:lpstr>'Capital adequacy'!Print_Area</vt:lpstr>
      <vt:lpstr>'Cover '!Print_Area</vt:lpstr>
      <vt:lpstr>'EPS calculations'!Print_Area</vt:lpstr>
      <vt:lpstr>'Financial highlights'!Print_Area</vt:lpstr>
      <vt:lpstr>'IFRS9 stages'!Print_Area</vt:lpstr>
      <vt:lpstr>'Loan portfolio quality'!Print_Area</vt:lpstr>
      <vt:lpstr>NFI!Print_Area</vt:lpstr>
      <vt:lpstr>NII!Print_Area</vt:lpstr>
      <vt:lpstr>'NPE flow decomposition'!Print_Area</vt:lpstr>
      <vt:lpstr>OPEX!Print_Area</vt:lpstr>
      <vt:lpstr>'Other information'!Print_Area</vt:lpstr>
      <vt:lpstr>'Performing loans'!Print_Area</vt:lpstr>
      <vt:lpstr>PL!Print_Area</vt:lpstr>
      <vt:lpstr>'PL segment view'!Print_Area</vt:lpstr>
      <vt:lpstr>'Capital adequacy'!Print_Titles</vt:lpstr>
      <vt:lpstr>'Other information'!Print_Titles</vt:lpstr>
      <vt:lpstr>PL!Print_Titles</vt:lpstr>
      <vt:lpstr>'PL segment view'!Print_Titles</vt:lpstr>
    </vt:vector>
  </TitlesOfParts>
  <Company>PIRAEUSBANK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Piraeus Bank Results</dc:title>
  <dc:creator>IR@piraeusholdings.gr</dc:creator>
  <cp:keywords>2014</cp:keywords>
  <cp:lastModifiedBy>Papageorgiou Evangelia</cp:lastModifiedBy>
  <cp:lastPrinted>2023-10-31T19:32:44Z</cp:lastPrinted>
  <dcterms:created xsi:type="dcterms:W3CDTF">2005-02-23T10:11:28Z</dcterms:created>
  <dcterms:modified xsi:type="dcterms:W3CDTF">2023-11-20T09:02:42Z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958c1004-b24f-4bde-8aad-2ae45b2e013d_Enabled">
    <vt:lpwstr>true</vt:lpwstr>
  </property>
  <property fmtid="{D5CDD505-2E9C-101B-9397-08002B2CF9AE}" pid="4" name="MSIP_Label_958c1004-b24f-4bde-8aad-2ae45b2e013d_SetDate">
    <vt:lpwstr>2022-05-04T13:11:18Z</vt:lpwstr>
  </property>
  <property fmtid="{D5CDD505-2E9C-101B-9397-08002B2CF9AE}" pid="5" name="MSIP_Label_958c1004-b24f-4bde-8aad-2ae45b2e013d_Method">
    <vt:lpwstr>Standard</vt:lpwstr>
  </property>
  <property fmtid="{D5CDD505-2E9C-101B-9397-08002B2CF9AE}" pid="6" name="MSIP_Label_958c1004-b24f-4bde-8aad-2ae45b2e013d_Name">
    <vt:lpwstr>Internal Use</vt:lpwstr>
  </property>
  <property fmtid="{D5CDD505-2E9C-101B-9397-08002B2CF9AE}" pid="7" name="MSIP_Label_958c1004-b24f-4bde-8aad-2ae45b2e013d_SiteId">
    <vt:lpwstr>4f1b3dbb-846d-4206-92b5-ac1cf048dbb2</vt:lpwstr>
  </property>
  <property fmtid="{D5CDD505-2E9C-101B-9397-08002B2CF9AE}" pid="8" name="MSIP_Label_958c1004-b24f-4bde-8aad-2ae45b2e013d_ActionId">
    <vt:lpwstr>8a4fb628-3f3e-4ff6-962d-dc00159c9c3e</vt:lpwstr>
  </property>
  <property fmtid="{D5CDD505-2E9C-101B-9397-08002B2CF9AE}" pid="9" name="MSIP_Label_958c1004-b24f-4bde-8aad-2ae45b2e013d_ContentBits">
    <vt:lpwstr>0</vt:lpwstr>
  </property>
</Properties>
</file>