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4\Q4.24\"/>
    </mc:Choice>
  </mc:AlternateContent>
  <xr:revisionPtr revIDLastSave="0" documentId="8_{E108736E-091D-4E1C-A2D0-48D9D44AF8E1}" xr6:coauthVersionLast="47" xr6:coauthVersionMax="47" xr10:uidLastSave="{00000000-0000-0000-0000-000000000000}"/>
  <bookViews>
    <workbookView xWindow="-120" yWindow="-120" windowWidth="29040" windowHeight="15840"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Debt securities" sheetId="52" r:id="rId16"/>
    <sheet name="Synthetic securitizations" sheetId="53" r:id="rId17"/>
    <sheet name="Other information" sheetId="35" r:id="rId18"/>
  </sheets>
  <definedNames>
    <definedName name="NPE_flow_decomposition">'Cover '!$E$30</definedName>
    <definedName name="_xlnm.Print_Area" localSheetId="4">' Analysis of selected BS items'!$A$1:$O$83</definedName>
    <definedName name="_xlnm.Print_Area" localSheetId="3">'Balance sheet'!$A$1:$Q$60</definedName>
    <definedName name="_xlnm.Print_Area" localSheetId="14">'Capital adequacy'!$A$1:$O$53</definedName>
    <definedName name="_xlnm.Print_Area" localSheetId="0">'Cover '!$A$1:$G$56</definedName>
    <definedName name="_xlnm.Print_Area" localSheetId="15">'Debt securities'!$A$1:$M$26</definedName>
    <definedName name="_xlnm.Print_Area" localSheetId="2">'EPS calculations'!$A$1:$Q$68</definedName>
    <definedName name="_xlnm.Print_Area" localSheetId="1">'Financial highlights'!$A$1:$Q$76</definedName>
    <definedName name="_xlnm.Print_Area" localSheetId="12">'IFRS9 stages'!$A$1:$O$55</definedName>
    <definedName name="_xlnm.Print_Area" localSheetId="11">'Loan portfolio quality'!$A$1:$O$78</definedName>
    <definedName name="_xlnm.Print_Area" localSheetId="7">NFI!$A$1:$P$26</definedName>
    <definedName name="_xlnm.Print_Area" localSheetId="6">NII!$A$1:$O$49</definedName>
    <definedName name="_xlnm.Print_Area" localSheetId="13">'NPE flow decomposition'!$A$1:$O$32</definedName>
    <definedName name="_xlnm.Print_Area" localSheetId="8">OPEX!$A$1:$O$29</definedName>
    <definedName name="_xlnm.Print_Area" localSheetId="17">'Other information'!$A$1:$O$59</definedName>
    <definedName name="_xlnm.Print_Area" localSheetId="10">'Performing loans'!$A$1:$O$34</definedName>
    <definedName name="_xlnm.Print_Area" localSheetId="5">PL!$A$1:$O$59</definedName>
    <definedName name="_xlnm.Print_Area" localSheetId="9">'PL segment view'!$A$1:$L$31</definedName>
    <definedName name="_xlnm.Print_Area" localSheetId="16">'Synthetic securitizations'!$A$1:$J$20</definedName>
    <definedName name="_xlnm.Print_Titles" localSheetId="14">'Capital adequacy'!$B:$N</definedName>
    <definedName name="_xlnm.Print_Titles" localSheetId="17">'Other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 i="50" l="1"/>
  <c r="N11" i="51" l="1"/>
  <c r="N15" i="51"/>
  <c r="E23" i="47" l="1"/>
  <c r="D23" i="47"/>
  <c r="C23" i="47"/>
  <c r="C24" i="47" l="1"/>
  <c r="F24" i="47"/>
  <c r="I23" i="47"/>
  <c r="F25" i="47"/>
  <c r="F23" i="47"/>
  <c r="I24" i="47"/>
  <c r="D24" i="47"/>
  <c r="E24" i="47"/>
  <c r="N45" i="36" l="1"/>
  <c r="N16" i="36"/>
  <c r="N60" i="36" s="1"/>
  <c r="N58" i="36"/>
  <c r="N44" i="36"/>
  <c r="N59" i="36"/>
  <c r="N65" i="36"/>
  <c r="N51" i="36"/>
  <c r="N66" i="36"/>
  <c r="N52" i="36"/>
  <c r="N30" i="36"/>
  <c r="N53" i="36" s="1"/>
  <c r="N72" i="36"/>
  <c r="N73" i="36"/>
  <c r="N23" i="36"/>
  <c r="N46" i="36" s="1"/>
  <c r="N74" i="36" l="1"/>
  <c r="N31" i="36"/>
  <c r="N24" i="36"/>
  <c r="N67" i="36"/>
  <c r="N43" i="36" l="1"/>
  <c r="N50" i="36" l="1"/>
  <c r="N17" i="36"/>
  <c r="N54" i="36" s="1"/>
  <c r="N47" i="36" l="1"/>
  <c r="N16" i="48" l="1"/>
  <c r="N12" i="48" l="1"/>
  <c r="N29" i="48" s="1"/>
  <c r="N30" i="48" s="1"/>
  <c r="N20" i="48" l="1"/>
  <c r="P51" i="50"/>
  <c r="O51" i="50"/>
  <c r="P36" i="50"/>
  <c r="O36" i="50"/>
  <c r="P55" i="50"/>
  <c r="P27" i="50"/>
  <c r="O27" i="50"/>
  <c r="N30" i="33" l="1"/>
  <c r="N61" i="34"/>
  <c r="N64" i="34" s="1"/>
  <c r="N54" i="34"/>
  <c r="N71" i="34"/>
  <c r="N66" i="34" l="1"/>
  <c r="N65" i="34"/>
  <c r="N67" i="34" s="1"/>
  <c r="N34" i="34" l="1"/>
  <c r="N40" i="34"/>
  <c r="N29" i="34"/>
  <c r="N25" i="34"/>
  <c r="N21" i="34" l="1"/>
  <c r="N19" i="34"/>
  <c r="N24" i="34"/>
  <c r="N22" i="34"/>
  <c r="N23" i="34"/>
  <c r="N20" i="34"/>
  <c r="N47" i="34"/>
  <c r="N24" i="42" l="1"/>
  <c r="N16" i="42"/>
  <c r="N26" i="42" l="1"/>
  <c r="N54" i="49" l="1"/>
  <c r="M54" i="49"/>
  <c r="P45" i="33"/>
  <c r="P43" i="33"/>
  <c r="P42" i="33"/>
  <c r="P41" i="33"/>
  <c r="P40" i="33"/>
  <c r="P39" i="33"/>
  <c r="P37" i="33"/>
  <c r="P36" i="33"/>
  <c r="P35" i="33"/>
  <c r="P34" i="33"/>
  <c r="P33" i="33"/>
  <c r="P32" i="33"/>
  <c r="P29" i="33"/>
  <c r="P25" i="33"/>
  <c r="P24" i="33"/>
  <c r="P23" i="33"/>
  <c r="P22" i="33"/>
  <c r="P21" i="33"/>
  <c r="P20" i="33"/>
  <c r="P19" i="33"/>
  <c r="P18" i="33"/>
  <c r="P17" i="33"/>
  <c r="P16" i="33"/>
  <c r="P15" i="33"/>
  <c r="P14" i="33"/>
  <c r="P13" i="33"/>
  <c r="P12" i="33"/>
  <c r="P11" i="33"/>
  <c r="M25" i="34"/>
  <c r="M21" i="34" l="1"/>
  <c r="M43" i="35"/>
  <c r="M16" i="42"/>
  <c r="M42" i="29"/>
  <c r="M46" i="29"/>
  <c r="M24" i="42"/>
  <c r="M23" i="43"/>
  <c r="M25" i="43" s="1"/>
  <c r="M15" i="51"/>
  <c r="P28" i="33"/>
  <c r="M30" i="33"/>
  <c r="P30" i="33" s="1"/>
  <c r="M29" i="34"/>
  <c r="M16" i="29"/>
  <c r="N22" i="41"/>
  <c r="M12" i="43"/>
  <c r="M13" i="29"/>
  <c r="M22" i="29"/>
  <c r="M21" i="50"/>
  <c r="M25" i="50" s="1"/>
  <c r="M28" i="50" s="1"/>
  <c r="M29" i="50" s="1"/>
  <c r="M48" i="50"/>
  <c r="M34" i="34"/>
  <c r="M40" i="34"/>
  <c r="M61" i="34"/>
  <c r="M64" i="34" s="1"/>
  <c r="M62" i="49"/>
  <c r="M56" i="49"/>
  <c r="M16" i="36"/>
  <c r="M60" i="36" s="1"/>
  <c r="M12" i="48"/>
  <c r="M29" i="48" s="1"/>
  <c r="M30" i="48" s="1"/>
  <c r="M16" i="48"/>
  <c r="M20" i="48" s="1"/>
  <c r="M71" i="34"/>
  <c r="M54" i="34"/>
  <c r="M20" i="49"/>
  <c r="M60" i="49" s="1"/>
  <c r="M74" i="34"/>
  <c r="M23" i="36"/>
  <c r="M24" i="36" s="1"/>
  <c r="M43" i="36"/>
  <c r="M51" i="36"/>
  <c r="M65" i="36"/>
  <c r="M72" i="36"/>
  <c r="M16" i="49"/>
  <c r="M59" i="49" s="1"/>
  <c r="M52" i="36"/>
  <c r="M59" i="36"/>
  <c r="M45" i="36"/>
  <c r="M30" i="36"/>
  <c r="M74" i="36" s="1"/>
  <c r="M23" i="34"/>
  <c r="M71" i="36"/>
  <c r="M50" i="36"/>
  <c r="M24" i="34"/>
  <c r="M44" i="33"/>
  <c r="P44" i="33" s="1"/>
  <c r="M22" i="34"/>
  <c r="M20" i="34"/>
  <c r="M19" i="34"/>
  <c r="M57" i="36"/>
  <c r="M73" i="36"/>
  <c r="M44" i="36"/>
  <c r="M40" i="36"/>
  <c r="M58" i="36"/>
  <c r="M64" i="36"/>
  <c r="M66" i="36"/>
  <c r="M26" i="42" l="1"/>
  <c r="M78" i="34"/>
  <c r="M47" i="34"/>
  <c r="M53" i="36"/>
  <c r="M46" i="36"/>
  <c r="M31" i="36"/>
  <c r="M75" i="36" s="1"/>
  <c r="M66" i="34"/>
  <c r="M65" i="34"/>
  <c r="M31" i="50"/>
  <c r="M34" i="50" s="1"/>
  <c r="M40" i="50" s="1"/>
  <c r="M49" i="50" s="1"/>
  <c r="M52" i="50" s="1"/>
  <c r="M53" i="50" s="1"/>
  <c r="M17" i="36"/>
  <c r="M67" i="36"/>
  <c r="M22" i="49"/>
  <c r="M28" i="49" s="1"/>
  <c r="M48" i="29"/>
  <c r="M49" i="29" s="1"/>
  <c r="M47" i="29"/>
  <c r="M68" i="36"/>
  <c r="M67" i="34" l="1"/>
  <c r="M54" i="36"/>
  <c r="M23" i="49"/>
  <c r="M29" i="49" s="1"/>
  <c r="M37" i="50"/>
  <c r="M38" i="50" s="1"/>
  <c r="M47" i="36"/>
  <c r="M61" i="36"/>
  <c r="M33" i="49"/>
  <c r="M36" i="49"/>
  <c r="M49" i="49" l="1"/>
  <c r="M55" i="49"/>
  <c r="M47" i="49"/>
  <c r="M35" i="49"/>
  <c r="O55" i="50"/>
  <c r="M48" i="49" l="1"/>
  <c r="F43" i="35"/>
  <c r="E43" i="35"/>
  <c r="D43" i="35"/>
  <c r="C43" i="35"/>
  <c r="G43" i="35" l="1"/>
  <c r="P64" i="49" l="1"/>
  <c r="P63" i="49"/>
  <c r="P44" i="49" l="1"/>
  <c r="P42" i="49"/>
  <c r="P39" i="49" l="1"/>
  <c r="N23" i="43" l="1"/>
  <c r="N25" i="43" s="1"/>
  <c r="O22" i="41" l="1"/>
  <c r="L42" i="29" l="1"/>
  <c r="L25" i="34"/>
  <c r="L24" i="42" l="1"/>
  <c r="L54" i="34"/>
  <c r="L12" i="43"/>
  <c r="L23" i="43"/>
  <c r="L25" i="43" s="1"/>
  <c r="L15" i="51"/>
  <c r="L16" i="48"/>
  <c r="L20" i="48" s="1"/>
  <c r="L22" i="34"/>
  <c r="L61" i="34"/>
  <c r="L66" i="34" s="1"/>
  <c r="L21" i="34"/>
  <c r="L72" i="36"/>
  <c r="L22" i="29"/>
  <c r="L13" i="29"/>
  <c r="L12" i="48"/>
  <c r="L29" i="48" s="1"/>
  <c r="L30" i="48" s="1"/>
  <c r="L40" i="34"/>
  <c r="L34" i="34"/>
  <c r="L45" i="36"/>
  <c r="M22" i="41"/>
  <c r="L30" i="33"/>
  <c r="L24" i="34"/>
  <c r="L23" i="36"/>
  <c r="L67" i="36" s="1"/>
  <c r="L44" i="33"/>
  <c r="L29" i="34"/>
  <c r="L71" i="34"/>
  <c r="L74" i="34"/>
  <c r="L16" i="42"/>
  <c r="L52" i="36"/>
  <c r="L59" i="36"/>
  <c r="L16" i="36"/>
  <c r="L60" i="36" s="1"/>
  <c r="L30" i="36"/>
  <c r="L31" i="36" s="1"/>
  <c r="L71" i="36"/>
  <c r="L50" i="36"/>
  <c r="L43" i="36"/>
  <c r="L65" i="36"/>
  <c r="L44" i="36"/>
  <c r="L66" i="36"/>
  <c r="L51" i="36"/>
  <c r="L73" i="36"/>
  <c r="L40" i="36"/>
  <c r="L58" i="36"/>
  <c r="L64" i="36"/>
  <c r="L57" i="36"/>
  <c r="L16" i="29"/>
  <c r="L23" i="34"/>
  <c r="L20" i="34"/>
  <c r="L19" i="34"/>
  <c r="L65" i="34" l="1"/>
  <c r="L64" i="34"/>
  <c r="L53" i="36"/>
  <c r="L47" i="34"/>
  <c r="L78" i="34"/>
  <c r="L74" i="36"/>
  <c r="L24" i="36"/>
  <c r="L68" i="36" s="1"/>
  <c r="L26" i="42"/>
  <c r="L17" i="36"/>
  <c r="L54" i="36" s="1"/>
  <c r="L46" i="36"/>
  <c r="L75" i="36"/>
  <c r="L67" i="34" l="1"/>
  <c r="L47" i="36"/>
  <c r="L61" i="36"/>
  <c r="C54" i="34" l="1"/>
  <c r="D54" i="34"/>
  <c r="G54" i="34"/>
  <c r="I54" i="34"/>
  <c r="J54" i="34"/>
  <c r="K54" i="34"/>
  <c r="E54" i="34"/>
  <c r="H54" i="34"/>
  <c r="F54" i="34"/>
  <c r="C25" i="47" l="1"/>
  <c r="D13" i="47"/>
  <c r="D15" i="47" s="1"/>
  <c r="D26" i="47" s="1"/>
  <c r="C13" i="47"/>
  <c r="C15" i="47" s="1"/>
  <c r="C26" i="47" l="1"/>
  <c r="C19" i="47"/>
  <c r="C28" i="47" s="1"/>
  <c r="M53" i="49" l="1"/>
  <c r="M57" i="49" l="1"/>
  <c r="M58" i="49"/>
  <c r="M52" i="49"/>
  <c r="M11" i="51" l="1"/>
  <c r="L22" i="41"/>
  <c r="K42" i="29"/>
  <c r="K74" i="34"/>
  <c r="K25" i="34"/>
  <c r="K54" i="49"/>
  <c r="K30" i="33" l="1"/>
  <c r="K24" i="34"/>
  <c r="K48" i="50"/>
  <c r="K52" i="36"/>
  <c r="K50" i="36"/>
  <c r="K21" i="50"/>
  <c r="K25" i="50" s="1"/>
  <c r="K16" i="29"/>
  <c r="K22" i="29"/>
  <c r="K12" i="43"/>
  <c r="K71" i="34"/>
  <c r="K78" i="34" s="1"/>
  <c r="K65" i="36"/>
  <c r="K43" i="36"/>
  <c r="K44" i="33"/>
  <c r="K23" i="34"/>
  <c r="K40" i="34"/>
  <c r="K34" i="34"/>
  <c r="K46" i="29"/>
  <c r="K47" i="29" s="1"/>
  <c r="K62" i="49"/>
  <c r="K19" i="34"/>
  <c r="K51" i="36"/>
  <c r="K56" i="49"/>
  <c r="K16" i="42"/>
  <c r="K21" i="34"/>
  <c r="K61" i="34"/>
  <c r="K66" i="34" s="1"/>
  <c r="K30" i="36"/>
  <c r="K31" i="36" s="1"/>
  <c r="K13" i="29"/>
  <c r="K71" i="36"/>
  <c r="K24" i="42"/>
  <c r="K59" i="36"/>
  <c r="K29" i="34"/>
  <c r="K23" i="43"/>
  <c r="K25" i="43" s="1"/>
  <c r="K16" i="48"/>
  <c r="K20" i="48" s="1"/>
  <c r="K58" i="36"/>
  <c r="K15" i="51"/>
  <c r="K72" i="36"/>
  <c r="K23" i="36"/>
  <c r="K67" i="36" s="1"/>
  <c r="K44" i="36"/>
  <c r="K66" i="36"/>
  <c r="K45" i="36"/>
  <c r="K57" i="36"/>
  <c r="K73" i="36"/>
  <c r="K16" i="36"/>
  <c r="K60" i="36" s="1"/>
  <c r="K40" i="36"/>
  <c r="K64" i="36"/>
  <c r="K12" i="48"/>
  <c r="K29" i="48" s="1"/>
  <c r="K30" i="48" s="1"/>
  <c r="K22" i="34"/>
  <c r="K20" i="34"/>
  <c r="K20" i="49"/>
  <c r="K60" i="49" s="1"/>
  <c r="K16" i="49"/>
  <c r="K59" i="49" s="1"/>
  <c r="K48" i="29" l="1"/>
  <c r="K49" i="29" s="1"/>
  <c r="K26" i="42"/>
  <c r="K24" i="36"/>
  <c r="K68" i="36" s="1"/>
  <c r="K74" i="36"/>
  <c r="K17" i="36"/>
  <c r="K46" i="36"/>
  <c r="K31" i="50"/>
  <c r="K34" i="50" s="1"/>
  <c r="K40" i="50" s="1"/>
  <c r="K49" i="50" s="1"/>
  <c r="K52" i="50" s="1"/>
  <c r="K53" i="50" s="1"/>
  <c r="K28" i="50"/>
  <c r="K29" i="50" s="1"/>
  <c r="K65" i="34"/>
  <c r="K64" i="34"/>
  <c r="K47" i="34"/>
  <c r="K75" i="36"/>
  <c r="K53" i="36"/>
  <c r="K22" i="49"/>
  <c r="K28" i="49" s="1"/>
  <c r="K47" i="36" l="1"/>
  <c r="K61" i="36"/>
  <c r="K37" i="50"/>
  <c r="K38" i="50" s="1"/>
  <c r="K54" i="36"/>
  <c r="K67" i="34"/>
  <c r="K23" i="49"/>
  <c r="K29" i="49" s="1"/>
  <c r="K36" i="49"/>
  <c r="K33" i="49"/>
  <c r="K47" i="49" s="1"/>
  <c r="K49" i="49" l="1"/>
  <c r="K35" i="49"/>
  <c r="K55" i="49"/>
  <c r="K48" i="49" l="1"/>
  <c r="J40" i="34" l="1"/>
  <c r="D40" i="34"/>
  <c r="E40" i="34"/>
  <c r="F40" i="34"/>
  <c r="G40" i="34"/>
  <c r="H40" i="34"/>
  <c r="C40" i="34"/>
  <c r="J34" i="34"/>
  <c r="D34" i="34"/>
  <c r="E34" i="34"/>
  <c r="G34" i="34"/>
  <c r="H34" i="34"/>
  <c r="I34" i="34"/>
  <c r="C34" i="34"/>
  <c r="J29" i="34"/>
  <c r="D29" i="34"/>
  <c r="E29" i="34"/>
  <c r="F29" i="34"/>
  <c r="G29" i="34"/>
  <c r="H29" i="34"/>
  <c r="I29" i="34"/>
  <c r="C29" i="34"/>
  <c r="G11" i="47" l="1"/>
  <c r="K11" i="47" l="1"/>
  <c r="G12" i="47"/>
  <c r="K12" i="47" s="1"/>
  <c r="G16" i="47"/>
  <c r="K16" i="47" s="1"/>
  <c r="E13" i="47"/>
  <c r="E15" i="47" s="1"/>
  <c r="E26" i="47" s="1"/>
  <c r="G17" i="47"/>
  <c r="K17" i="47" s="1"/>
  <c r="G21" i="47"/>
  <c r="K21" i="47" s="1"/>
  <c r="G18" i="47"/>
  <c r="K18" i="47" s="1"/>
  <c r="F13" i="47"/>
  <c r="F15" i="47" s="1"/>
  <c r="F26" i="47" s="1"/>
  <c r="E25" i="47"/>
  <c r="D25" i="47"/>
  <c r="G14" i="47"/>
  <c r="G9" i="47"/>
  <c r="I13" i="47"/>
  <c r="I15" i="47" s="1"/>
  <c r="I26" i="47" s="1"/>
  <c r="G10" i="47"/>
  <c r="G24" i="47" l="1"/>
  <c r="G23" i="47"/>
  <c r="I19" i="47"/>
  <c r="I28" i="47" s="1"/>
  <c r="D19" i="47"/>
  <c r="D28" i="47" s="1"/>
  <c r="F19" i="47"/>
  <c r="F28" i="47" s="1"/>
  <c r="E19" i="47"/>
  <c r="E28" i="47" s="1"/>
  <c r="G13" i="47"/>
  <c r="K13" i="47" s="1"/>
  <c r="K9" i="47"/>
  <c r="K23" i="47" s="1"/>
  <c r="G15" i="47"/>
  <c r="G25" i="47"/>
  <c r="K14" i="47"/>
  <c r="K10" i="47"/>
  <c r="K24" i="47" s="1"/>
  <c r="G26" i="47" l="1"/>
  <c r="G19" i="47"/>
  <c r="G28" i="47" s="1"/>
  <c r="K25" i="47"/>
  <c r="K15" i="47"/>
  <c r="K19" i="47" l="1"/>
  <c r="K28" i="47" s="1"/>
  <c r="K26" i="47"/>
  <c r="J74" i="34" l="1"/>
  <c r="D74" i="34"/>
  <c r="E74" i="34"/>
  <c r="F74" i="34"/>
  <c r="G74" i="34"/>
  <c r="H74" i="34"/>
  <c r="I74" i="34"/>
  <c r="C74" i="34"/>
  <c r="J47" i="34"/>
  <c r="H47" i="34"/>
  <c r="G47" i="34"/>
  <c r="E47" i="34"/>
  <c r="D47" i="34"/>
  <c r="C47" i="34"/>
  <c r="J25" i="34" l="1"/>
  <c r="J42" i="29"/>
  <c r="J21" i="34" l="1"/>
  <c r="J30" i="33"/>
  <c r="J23" i="34"/>
  <c r="J71" i="34"/>
  <c r="J78" i="34" s="1"/>
  <c r="J20" i="34"/>
  <c r="J24" i="34"/>
  <c r="J21" i="50"/>
  <c r="J25" i="50" s="1"/>
  <c r="J28" i="50" s="1"/>
  <c r="J29" i="50" s="1"/>
  <c r="J16" i="29"/>
  <c r="J22" i="29"/>
  <c r="J13" i="29"/>
  <c r="J61" i="34"/>
  <c r="J66" i="34" s="1"/>
  <c r="J44" i="33"/>
  <c r="J22" i="34"/>
  <c r="J19" i="34"/>
  <c r="J46" i="29"/>
  <c r="J47" i="29" s="1"/>
  <c r="J65" i="34" l="1"/>
  <c r="J64" i="34"/>
  <c r="J31" i="50"/>
  <c r="J48" i="29"/>
  <c r="J49" i="29" s="1"/>
  <c r="J34" i="50" l="1"/>
  <c r="J40" i="50" s="1"/>
  <c r="J49" i="50" s="1"/>
  <c r="J67" i="34"/>
  <c r="J52" i="50" l="1"/>
  <c r="J53" i="50" s="1"/>
  <c r="J37" i="50"/>
  <c r="J38" i="50" s="1"/>
  <c r="J11" i="43"/>
  <c r="J12" i="43" s="1"/>
  <c r="K11" i="51" l="1"/>
  <c r="L11" i="51"/>
  <c r="J40" i="36"/>
  <c r="J66" i="36"/>
  <c r="J59" i="36"/>
  <c r="J16" i="36"/>
  <c r="J60" i="36" s="1"/>
  <c r="J15" i="51"/>
  <c r="K22" i="41"/>
  <c r="J24" i="42"/>
  <c r="J23" i="43"/>
  <c r="J25" i="43" s="1"/>
  <c r="J64" i="36"/>
  <c r="J72" i="36"/>
  <c r="J12" i="48"/>
  <c r="J29" i="48" s="1"/>
  <c r="J30" i="48" s="1"/>
  <c r="J51" i="36"/>
  <c r="J44" i="36"/>
  <c r="J16" i="42"/>
  <c r="J23" i="36"/>
  <c r="J24" i="36" s="1"/>
  <c r="J52" i="36"/>
  <c r="J45" i="36"/>
  <c r="J30" i="36"/>
  <c r="J71" i="36"/>
  <c r="J58" i="36"/>
  <c r="J65" i="36"/>
  <c r="J73" i="36"/>
  <c r="J16" i="48"/>
  <c r="J68" i="36" l="1"/>
  <c r="J57" i="36"/>
  <c r="J17" i="36"/>
  <c r="J47" i="36" s="1"/>
  <c r="J53" i="36"/>
  <c r="J50" i="36"/>
  <c r="J43" i="36"/>
  <c r="J26" i="42"/>
  <c r="J46" i="36"/>
  <c r="J67" i="36"/>
  <c r="J74" i="36"/>
  <c r="J20" i="48"/>
  <c r="J31" i="36"/>
  <c r="J75" i="36" s="1"/>
  <c r="J61" i="36" l="1"/>
  <c r="J54" i="36"/>
  <c r="F54" i="49" l="1"/>
  <c r="O42" i="49"/>
  <c r="K53" i="49"/>
  <c r="O39" i="49" l="1"/>
  <c r="K57" i="49"/>
  <c r="K52" i="49"/>
  <c r="K58" i="49"/>
  <c r="O64" i="49" l="1"/>
  <c r="O63" i="49"/>
  <c r="O44" i="49" l="1"/>
  <c r="I54" i="49" l="1"/>
  <c r="I62" i="49"/>
  <c r="I56" i="49"/>
  <c r="I20" i="49"/>
  <c r="I60" i="49" s="1"/>
  <c r="I21" i="50"/>
  <c r="I25" i="50" s="1"/>
  <c r="I28" i="50" s="1"/>
  <c r="I29" i="50" s="1"/>
  <c r="I16" i="49"/>
  <c r="I59" i="49" s="1"/>
  <c r="I31" i="50" l="1"/>
  <c r="I34" i="50" s="1"/>
  <c r="I37" i="50" s="1"/>
  <c r="I38" i="50" s="1"/>
  <c r="I22" i="49"/>
  <c r="I23" i="49" l="1"/>
  <c r="I29" i="49" s="1"/>
  <c r="I40" i="50"/>
  <c r="I49" i="50" s="1"/>
  <c r="I28" i="49"/>
  <c r="I36" i="49" s="1"/>
  <c r="I25" i="34"/>
  <c r="I42" i="29"/>
  <c r="I12" i="43"/>
  <c r="I49" i="49" l="1"/>
  <c r="J22" i="41"/>
  <c r="I52" i="50"/>
  <c r="I53" i="50" s="1"/>
  <c r="I15" i="51"/>
  <c r="I33" i="49"/>
  <c r="I13" i="29"/>
  <c r="I16" i="48"/>
  <c r="I16" i="29"/>
  <c r="I61" i="34"/>
  <c r="I65" i="34" s="1"/>
  <c r="I24" i="34"/>
  <c r="I21" i="34"/>
  <c r="I72" i="36"/>
  <c r="I44" i="33"/>
  <c r="I71" i="36"/>
  <c r="I51" i="36"/>
  <c r="I59" i="36"/>
  <c r="I16" i="36"/>
  <c r="I60" i="36" s="1"/>
  <c r="I16" i="42"/>
  <c r="I30" i="33"/>
  <c r="I23" i="36"/>
  <c r="I67" i="36" s="1"/>
  <c r="I22" i="29"/>
  <c r="I45" i="36"/>
  <c r="I23" i="43"/>
  <c r="I25" i="43" s="1"/>
  <c r="I71" i="34"/>
  <c r="I78" i="34" s="1"/>
  <c r="I52" i="36"/>
  <c r="I24" i="42"/>
  <c r="I30" i="36"/>
  <c r="I74" i="36" s="1"/>
  <c r="I23" i="34"/>
  <c r="I43" i="36"/>
  <c r="I65" i="36"/>
  <c r="I22" i="34"/>
  <c r="I20" i="34"/>
  <c r="I19" i="34"/>
  <c r="I46" i="29"/>
  <c r="I47" i="29" s="1"/>
  <c r="I50" i="36"/>
  <c r="I57" i="36"/>
  <c r="I73" i="36"/>
  <c r="I44" i="36"/>
  <c r="I66" i="36"/>
  <c r="I40" i="36"/>
  <c r="I58" i="36"/>
  <c r="I64" i="36"/>
  <c r="I55" i="49" l="1"/>
  <c r="I47" i="49"/>
  <c r="I35" i="49"/>
  <c r="I66" i="34"/>
  <c r="I64" i="34"/>
  <c r="I20" i="48"/>
  <c r="I17" i="36"/>
  <c r="I61" i="36" s="1"/>
  <c r="I53" i="36"/>
  <c r="I12" i="48"/>
  <c r="I29" i="48" s="1"/>
  <c r="I30" i="48" s="1"/>
  <c r="I24" i="36"/>
  <c r="I46" i="36"/>
  <c r="I31" i="36"/>
  <c r="I26" i="42"/>
  <c r="I48" i="29"/>
  <c r="I49" i="29" s="1"/>
  <c r="I48" i="49" l="1"/>
  <c r="I54" i="36"/>
  <c r="I67" i="34"/>
  <c r="I47" i="36"/>
  <c r="I68" i="36"/>
  <c r="I75" i="36"/>
  <c r="H20" i="34" l="1"/>
  <c r="H64" i="49"/>
  <c r="H63" i="49"/>
  <c r="I22" i="41" l="1"/>
  <c r="H23" i="43"/>
  <c r="H25" i="43" s="1"/>
  <c r="H24" i="42"/>
  <c r="H15" i="51"/>
  <c r="H23" i="36"/>
  <c r="H24" i="36" s="1"/>
  <c r="H16" i="42"/>
  <c r="H30" i="33"/>
  <c r="H59" i="36"/>
  <c r="H16" i="36"/>
  <c r="H60" i="36" s="1"/>
  <c r="H16" i="48"/>
  <c r="H71" i="34"/>
  <c r="H78" i="34" s="1"/>
  <c r="H52" i="36"/>
  <c r="H61" i="34"/>
  <c r="H66" i="34" s="1"/>
  <c r="H45" i="36"/>
  <c r="H12" i="48"/>
  <c r="H50" i="36"/>
  <c r="H19" i="34"/>
  <c r="H24" i="34"/>
  <c r="H44" i="33"/>
  <c r="H30" i="36"/>
  <c r="H74" i="36" s="1"/>
  <c r="H71" i="36"/>
  <c r="H51" i="36"/>
  <c r="H65" i="36"/>
  <c r="H21" i="34"/>
  <c r="H72" i="36"/>
  <c r="H23" i="34"/>
  <c r="H25" i="34"/>
  <c r="H22" i="34"/>
  <c r="H73" i="36"/>
  <c r="H40" i="36"/>
  <c r="H58" i="36"/>
  <c r="H64" i="36"/>
  <c r="H44" i="36"/>
  <c r="H66" i="36"/>
  <c r="H67" i="36" l="1"/>
  <c r="H26" i="42"/>
  <c r="H65" i="34"/>
  <c r="H64" i="34"/>
  <c r="H46" i="36"/>
  <c r="H17" i="36"/>
  <c r="H47" i="36" s="1"/>
  <c r="H57" i="36"/>
  <c r="H53" i="36"/>
  <c r="H20" i="48"/>
  <c r="H29" i="48"/>
  <c r="H30" i="48" s="1"/>
  <c r="H43" i="36"/>
  <c r="H31" i="36"/>
  <c r="H68" i="36"/>
  <c r="H54" i="36" l="1"/>
  <c r="H67" i="34"/>
  <c r="H61" i="36"/>
  <c r="H75" i="36"/>
  <c r="H54" i="49" l="1"/>
  <c r="I51" i="49"/>
  <c r="I50" i="49"/>
  <c r="I53" i="49"/>
  <c r="I57" i="49" l="1"/>
  <c r="I52" i="49"/>
  <c r="I58" i="49"/>
  <c r="H56" i="49"/>
  <c r="G21" i="50" l="1"/>
  <c r="G54" i="49"/>
  <c r="G20" i="34"/>
  <c r="G42" i="29"/>
  <c r="G57" i="49" l="1"/>
  <c r="H22" i="41"/>
  <c r="G16" i="49"/>
  <c r="G59" i="49" s="1"/>
  <c r="G23" i="43"/>
  <c r="G25" i="43" s="1"/>
  <c r="G16" i="42"/>
  <c r="G23" i="34"/>
  <c r="G24" i="34"/>
  <c r="G22" i="34"/>
  <c r="G25" i="34"/>
  <c r="G71" i="34"/>
  <c r="G78" i="34" s="1"/>
  <c r="G62" i="49"/>
  <c r="G21" i="34"/>
  <c r="G19" i="34"/>
  <c r="G20" i="49"/>
  <c r="G60" i="49" s="1"/>
  <c r="G56" i="49"/>
  <c r="G22" i="29"/>
  <c r="G13" i="29"/>
  <c r="G61" i="34"/>
  <c r="G65" i="34" s="1"/>
  <c r="G24" i="42"/>
  <c r="G30" i="33"/>
  <c r="G44" i="33"/>
  <c r="G26" i="42" l="1"/>
  <c r="G22" i="49"/>
  <c r="G64" i="34"/>
  <c r="G66" i="34"/>
  <c r="G28" i="49" l="1"/>
  <c r="G36" i="49" s="1"/>
  <c r="G23" i="49"/>
  <c r="G29" i="49" s="1"/>
  <c r="G67" i="34"/>
  <c r="G64" i="49"/>
  <c r="G63" i="49"/>
  <c r="G49" i="49" l="1"/>
  <c r="G51" i="49"/>
  <c r="G53" i="49"/>
  <c r="G15" i="51"/>
  <c r="G12" i="48"/>
  <c r="G29" i="48" s="1"/>
  <c r="G30" i="48" s="1"/>
  <c r="G51" i="36"/>
  <c r="G44" i="36"/>
  <c r="G45" i="36"/>
  <c r="G52" i="36"/>
  <c r="G16" i="36"/>
  <c r="G60" i="36" s="1"/>
  <c r="G23" i="36"/>
  <c r="G67" i="36" s="1"/>
  <c r="G72" i="36"/>
  <c r="G66" i="36"/>
  <c r="G30" i="36"/>
  <c r="G31" i="36" s="1"/>
  <c r="G16" i="48"/>
  <c r="G58" i="36"/>
  <c r="G65" i="36"/>
  <c r="G73" i="36"/>
  <c r="G59" i="36"/>
  <c r="G20" i="48" l="1"/>
  <c r="G74" i="36"/>
  <c r="G53" i="36"/>
  <c r="G46" i="36"/>
  <c r="G24" i="36"/>
  <c r="G17" i="36"/>
  <c r="G43" i="36"/>
  <c r="G50" i="36"/>
  <c r="G54" i="36" l="1"/>
  <c r="G47" i="36"/>
  <c r="F30" i="48" l="1"/>
  <c r="G22" i="41" l="1"/>
  <c r="F23" i="43"/>
  <c r="F25" i="43" s="1"/>
  <c r="F16" i="42"/>
  <c r="G58" i="49"/>
  <c r="F43" i="36"/>
  <c r="F21" i="34"/>
  <c r="F23" i="34"/>
  <c r="F20" i="34"/>
  <c r="F24" i="42"/>
  <c r="F51" i="36"/>
  <c r="F23" i="36"/>
  <c r="F24" i="36" s="1"/>
  <c r="F71" i="34"/>
  <c r="F78" i="34" s="1"/>
  <c r="F15" i="51"/>
  <c r="F24" i="34"/>
  <c r="F61" i="34"/>
  <c r="F66" i="34" s="1"/>
  <c r="F58" i="36"/>
  <c r="F52" i="36"/>
  <c r="F65" i="36"/>
  <c r="F16" i="48"/>
  <c r="F59" i="36"/>
  <c r="F45" i="36"/>
  <c r="F30" i="36"/>
  <c r="F31" i="36" s="1"/>
  <c r="F44" i="33"/>
  <c r="F22" i="34"/>
  <c r="F30" i="33"/>
  <c r="F25" i="34"/>
  <c r="F44" i="36"/>
  <c r="F66" i="36"/>
  <c r="F72" i="36"/>
  <c r="F73" i="36"/>
  <c r="F16" i="36"/>
  <c r="F60" i="36" s="1"/>
  <c r="F19" i="34"/>
  <c r="F26" i="42" l="1"/>
  <c r="D16" i="42"/>
  <c r="E16" i="42"/>
  <c r="C16" i="42"/>
  <c r="F12" i="48"/>
  <c r="F50" i="36"/>
  <c r="F17" i="36"/>
  <c r="F54" i="36" s="1"/>
  <c r="F65" i="34"/>
  <c r="F74" i="36"/>
  <c r="F64" i="34"/>
  <c r="F67" i="36"/>
  <c r="F53" i="36"/>
  <c r="F46" i="36"/>
  <c r="F67" i="34" l="1"/>
  <c r="F47" i="36"/>
  <c r="C15" i="51" l="1"/>
  <c r="E15" i="51"/>
  <c r="D15" i="51"/>
  <c r="E23" i="36" l="1"/>
  <c r="E24" i="36" s="1"/>
  <c r="E30" i="36"/>
  <c r="E31" i="36" s="1"/>
  <c r="D30" i="36" l="1"/>
  <c r="D31" i="36" s="1"/>
  <c r="D23" i="36"/>
  <c r="D24" i="36" s="1"/>
  <c r="C23" i="36"/>
  <c r="C24" i="36" s="1"/>
  <c r="C30" i="36"/>
  <c r="C31" i="36" s="1"/>
  <c r="C16" i="36" l="1"/>
  <c r="C17" i="36" s="1"/>
  <c r="D16" i="36"/>
  <c r="D17" i="36" s="1"/>
  <c r="E16" i="36"/>
  <c r="E17" i="36" s="1"/>
  <c r="E24" i="42" l="1"/>
  <c r="E26" i="42" s="1"/>
  <c r="C12" i="48" l="1"/>
  <c r="E54" i="49" l="1"/>
  <c r="D54" i="49"/>
  <c r="C54" i="49"/>
  <c r="F22" i="41" l="1"/>
  <c r="E22" i="41"/>
  <c r="D22" i="41"/>
  <c r="E23" i="43" l="1"/>
  <c r="E25" i="43" s="1"/>
  <c r="D23" i="43"/>
  <c r="D25" i="43" s="1"/>
  <c r="C23" i="43"/>
  <c r="C25" i="43" s="1"/>
  <c r="E16" i="48" l="1"/>
  <c r="E20" i="48" s="1"/>
  <c r="E25" i="34" l="1"/>
  <c r="E30" i="48"/>
  <c r="E12" i="48"/>
  <c r="F20" i="48" l="1"/>
  <c r="E71" i="34"/>
  <c r="E78" i="34" s="1"/>
  <c r="E50" i="36"/>
  <c r="E44" i="36"/>
  <c r="E43" i="36"/>
  <c r="E22" i="34"/>
  <c r="E56" i="49"/>
  <c r="E23" i="34"/>
  <c r="E60" i="36"/>
  <c r="E58" i="36"/>
  <c r="E24" i="34"/>
  <c r="E47" i="36"/>
  <c r="E52" i="36"/>
  <c r="E73" i="36"/>
  <c r="E21" i="34"/>
  <c r="E19" i="34"/>
  <c r="E67" i="36"/>
  <c r="E59" i="36"/>
  <c r="E20" i="34"/>
  <c r="E30" i="33"/>
  <c r="E44" i="33"/>
  <c r="E45" i="36"/>
  <c r="E51" i="36"/>
  <c r="E65" i="36"/>
  <c r="E61" i="34"/>
  <c r="E65" i="34" s="1"/>
  <c r="E46" i="36"/>
  <c r="E54" i="36"/>
  <c r="E66" i="36"/>
  <c r="E72" i="36"/>
  <c r="E64" i="34" l="1"/>
  <c r="E66" i="34"/>
  <c r="E53" i="36"/>
  <c r="E74" i="36"/>
  <c r="E67" i="34" l="1"/>
  <c r="D30" i="48" l="1"/>
  <c r="D16" i="48"/>
  <c r="D12" i="48"/>
  <c r="D20" i="48" l="1"/>
  <c r="D56" i="49" l="1"/>
  <c r="D44" i="36" l="1"/>
  <c r="D54" i="36" l="1"/>
  <c r="D46" i="36"/>
  <c r="D52" i="36"/>
  <c r="D59" i="36"/>
  <c r="D43" i="36"/>
  <c r="D60" i="36"/>
  <c r="D45" i="36"/>
  <c r="D65" i="36"/>
  <c r="D47" i="36"/>
  <c r="D53" i="36"/>
  <c r="D50" i="36"/>
  <c r="D72" i="36"/>
  <c r="D51" i="36"/>
  <c r="D67" i="36"/>
  <c r="D73" i="36"/>
  <c r="D66" i="36"/>
  <c r="D58" i="36"/>
  <c r="D74" i="36" l="1"/>
  <c r="D24" i="42" l="1"/>
  <c r="D26" i="42" l="1"/>
  <c r="D71" i="34" l="1"/>
  <c r="D78" i="34" s="1"/>
  <c r="D61" i="34"/>
  <c r="D65" i="34" s="1"/>
  <c r="D64" i="34" l="1"/>
  <c r="D66" i="34"/>
  <c r="D67" i="34" l="1"/>
  <c r="D21" i="34" l="1"/>
  <c r="D25" i="34"/>
  <c r="D20" i="34"/>
  <c r="D23" i="34"/>
  <c r="D22" i="34"/>
  <c r="D24" i="34"/>
  <c r="D19" i="34"/>
  <c r="D30" i="33" l="1"/>
  <c r="D44" i="33"/>
  <c r="C30" i="48" l="1"/>
  <c r="C16" i="48" l="1"/>
  <c r="C20" i="48" s="1"/>
  <c r="C24" i="42" l="1"/>
  <c r="C26" i="42" s="1"/>
  <c r="C56" i="49" l="1"/>
  <c r="C25" i="34" l="1"/>
  <c r="C21" i="34"/>
  <c r="C71" i="34"/>
  <c r="C78" i="34" s="1"/>
  <c r="C19" i="34"/>
  <c r="C44" i="33"/>
  <c r="C30" i="33"/>
  <c r="C61" i="34"/>
  <c r="C64" i="34" s="1"/>
  <c r="C23" i="34"/>
  <c r="C22" i="34"/>
  <c r="C20" i="34"/>
  <c r="C24" i="34"/>
  <c r="C66" i="34" l="1"/>
  <c r="C65" i="34"/>
  <c r="C67" i="34" l="1"/>
  <c r="C33" i="35"/>
  <c r="C43" i="36" l="1"/>
  <c r="C60" i="36"/>
  <c r="C51" i="36"/>
  <c r="C54" i="36"/>
  <c r="C45" i="36"/>
  <c r="C58" i="36"/>
  <c r="C50" i="36"/>
  <c r="C52" i="36"/>
  <c r="C46" i="36"/>
  <c r="C73" i="36"/>
  <c r="C44" i="36"/>
  <c r="C59" i="36"/>
  <c r="C72" i="36"/>
  <c r="C47" i="36"/>
  <c r="C65" i="36"/>
  <c r="C53" i="36"/>
  <c r="C66" i="36"/>
  <c r="C67" i="36"/>
  <c r="C74" i="36" l="1"/>
  <c r="E62" i="49" l="1"/>
  <c r="F62" i="49"/>
  <c r="F22" i="29" l="1"/>
  <c r="F20" i="49"/>
  <c r="F58" i="49"/>
  <c r="F57" i="49"/>
  <c r="F60" i="49" l="1"/>
  <c r="F16" i="49"/>
  <c r="F13" i="29"/>
  <c r="F22" i="49" l="1"/>
  <c r="F23" i="49" s="1"/>
  <c r="F29" i="49" s="1"/>
  <c r="F59" i="49"/>
  <c r="F28" i="49"/>
  <c r="F36" i="49" l="1"/>
  <c r="F49" i="49" l="1"/>
  <c r="F53" i="49"/>
  <c r="F51" i="49"/>
  <c r="F42" i="29" l="1"/>
  <c r="E20" i="49" l="1"/>
  <c r="E57" i="49"/>
  <c r="E22" i="29"/>
  <c r="E58" i="49"/>
  <c r="E60" i="49" l="1"/>
  <c r="E16" i="49"/>
  <c r="E13" i="29"/>
  <c r="E22" i="49" l="1"/>
  <c r="E28" i="49" s="1"/>
  <c r="E36" i="49" s="1"/>
  <c r="E59" i="49"/>
  <c r="E21" i="50"/>
  <c r="E23" i="49" l="1"/>
  <c r="E29" i="49" s="1"/>
  <c r="E49" i="49"/>
  <c r="E53" i="49"/>
  <c r="E51" i="49"/>
  <c r="D62" i="49" l="1"/>
  <c r="D20" i="49" l="1"/>
  <c r="D57" i="49"/>
  <c r="D22" i="29"/>
  <c r="D58" i="49"/>
  <c r="D60" i="49" l="1"/>
  <c r="D16" i="49"/>
  <c r="D21" i="50"/>
  <c r="C62" i="49"/>
  <c r="E42" i="29"/>
  <c r="D13" i="29"/>
  <c r="D22" i="49" l="1"/>
  <c r="D23" i="49" s="1"/>
  <c r="D29" i="49" s="1"/>
  <c r="D59" i="49"/>
  <c r="D28" i="49"/>
  <c r="D36" i="49" l="1"/>
  <c r="D49" i="49" l="1"/>
  <c r="D53" i="49"/>
  <c r="D51" i="49"/>
  <c r="D42" i="29" l="1"/>
  <c r="C20" i="49" l="1"/>
  <c r="C22" i="29"/>
  <c r="C58" i="49"/>
  <c r="C57" i="49"/>
  <c r="C60" i="49" l="1"/>
  <c r="C16" i="49"/>
  <c r="C21" i="50"/>
  <c r="C13" i="29"/>
  <c r="C22" i="49" l="1"/>
  <c r="C59" i="49"/>
  <c r="C28" i="49"/>
  <c r="C23" i="49"/>
  <c r="C29" i="49" s="1"/>
  <c r="C36" i="49" l="1"/>
  <c r="C49" i="49" l="1"/>
  <c r="C53" i="49"/>
  <c r="C51" i="49"/>
  <c r="C42" i="29" l="1"/>
  <c r="F21" i="50" l="1"/>
  <c r="D40" i="36" l="1"/>
  <c r="D64" i="36"/>
  <c r="D71" i="36"/>
  <c r="D57" i="36"/>
  <c r="C40" i="36"/>
  <c r="C57" i="36"/>
  <c r="C64" i="36"/>
  <c r="C71" i="36"/>
  <c r="E40" i="36"/>
  <c r="E71" i="36"/>
  <c r="E57" i="36"/>
  <c r="E64" i="36"/>
  <c r="F40" i="36" l="1"/>
  <c r="F71" i="36"/>
  <c r="F64" i="36"/>
  <c r="F57" i="36"/>
  <c r="G40" i="36"/>
  <c r="G64" i="36"/>
  <c r="G71" i="36"/>
  <c r="G57" i="36"/>
  <c r="E68" i="36"/>
  <c r="E75" i="36"/>
  <c r="E61" i="36"/>
  <c r="C75" i="36"/>
  <c r="C61" i="36"/>
  <c r="C68" i="36"/>
  <c r="D68" i="36"/>
  <c r="D61" i="36"/>
  <c r="D75" i="36"/>
  <c r="G75" i="36" l="1"/>
  <c r="G61" i="36"/>
  <c r="G68" i="36"/>
  <c r="F75" i="36"/>
  <c r="F61" i="36"/>
  <c r="F68" i="36"/>
  <c r="H62" i="49" l="1"/>
  <c r="H22" i="29" l="1"/>
  <c r="H20" i="49"/>
  <c r="H57" i="49"/>
  <c r="H58" i="49"/>
  <c r="H60" i="49" l="1"/>
  <c r="H16" i="49"/>
  <c r="H13" i="29"/>
  <c r="H21" i="50"/>
  <c r="H22" i="49" l="1"/>
  <c r="H23" i="49" s="1"/>
  <c r="H29" i="49" s="1"/>
  <c r="H59" i="49"/>
  <c r="H28" i="49" l="1"/>
  <c r="H36" i="49" s="1"/>
  <c r="H49" i="49" l="1"/>
  <c r="H53" i="49"/>
  <c r="H51" i="49"/>
  <c r="H42" i="29"/>
  <c r="H33" i="49"/>
  <c r="H25" i="50"/>
  <c r="H55" i="49" l="1"/>
  <c r="H47" i="49"/>
  <c r="H35" i="49"/>
  <c r="H31" i="50"/>
  <c r="H28" i="50"/>
  <c r="H29" i="50" s="1"/>
  <c r="H48" i="49" l="1"/>
  <c r="H52" i="49"/>
  <c r="H50" i="49"/>
  <c r="G25" i="50" l="1"/>
  <c r="G33" i="49"/>
  <c r="G47" i="49" s="1"/>
  <c r="G55" i="49" l="1"/>
  <c r="G35" i="49"/>
  <c r="G31" i="50"/>
  <c r="G28" i="50"/>
  <c r="G29" i="50" s="1"/>
  <c r="O29" i="50" s="1"/>
  <c r="G48" i="49" l="1"/>
  <c r="G52" i="49"/>
  <c r="G50" i="49"/>
  <c r="E33" i="49" l="1"/>
  <c r="E25" i="50"/>
  <c r="E28" i="50" l="1"/>
  <c r="E29" i="50" s="1"/>
  <c r="E31" i="50"/>
  <c r="E35" i="49"/>
  <c r="E52" i="49" s="1"/>
  <c r="E47" i="49"/>
  <c r="E55" i="49"/>
  <c r="E50" i="49" l="1"/>
  <c r="E48" i="49"/>
  <c r="D33" i="49" l="1"/>
  <c r="D25" i="50"/>
  <c r="D28" i="50" l="1"/>
  <c r="D29" i="50" s="1"/>
  <c r="D31" i="50"/>
  <c r="D35" i="49"/>
  <c r="D52" i="49" s="1"/>
  <c r="D47" i="49"/>
  <c r="D55" i="49"/>
  <c r="D50" i="49" l="1"/>
  <c r="D48" i="49"/>
  <c r="C33" i="49" l="1"/>
  <c r="C25" i="50"/>
  <c r="C31" i="50" l="1"/>
  <c r="C28" i="50"/>
  <c r="C29" i="50" s="1"/>
  <c r="C47" i="49"/>
  <c r="C35" i="49"/>
  <c r="C52" i="49" s="1"/>
  <c r="C55" i="49"/>
  <c r="C50" i="49" l="1"/>
  <c r="C48" i="49"/>
  <c r="F25" i="50" l="1"/>
  <c r="F33" i="49"/>
  <c r="F35" i="49" l="1"/>
  <c r="F52" i="49" s="1"/>
  <c r="F55" i="49"/>
  <c r="F47" i="49"/>
  <c r="F28" i="50"/>
  <c r="F29" i="50" s="1"/>
  <c r="F31" i="50"/>
  <c r="F50" i="49" l="1"/>
  <c r="F48" i="49"/>
  <c r="H12" i="43" l="1"/>
  <c r="G12" i="43" l="1"/>
  <c r="F12" i="43" l="1"/>
  <c r="E12" i="43" l="1"/>
  <c r="D12" i="43" l="1"/>
  <c r="C12" i="43" l="1"/>
  <c r="H34" i="50" l="1"/>
  <c r="H16" i="29" l="1"/>
  <c r="H46" i="29"/>
  <c r="H47" i="29" s="1"/>
  <c r="H37" i="50"/>
  <c r="H38" i="50" s="1"/>
  <c r="H40" i="50"/>
  <c r="H49" i="50" s="1"/>
  <c r="H52" i="50" l="1"/>
  <c r="H53" i="50" s="1"/>
  <c r="H48" i="29"/>
  <c r="H49" i="29" s="1"/>
  <c r="G46" i="29" l="1"/>
  <c r="G47" i="29" s="1"/>
  <c r="G16" i="29"/>
  <c r="G34" i="50"/>
  <c r="G40" i="50" s="1"/>
  <c r="G49" i="50" s="1"/>
  <c r="G52" i="50" s="1"/>
  <c r="G53" i="50" s="1"/>
  <c r="O53" i="50" s="1"/>
  <c r="G48" i="29" l="1"/>
  <c r="G49" i="29" s="1"/>
  <c r="G37" i="50"/>
  <c r="G38" i="50" s="1"/>
  <c r="O38" i="50" s="1"/>
  <c r="F34" i="50" l="1"/>
  <c r="F40" i="50" s="1"/>
  <c r="F49" i="50" s="1"/>
  <c r="F52" i="50" s="1"/>
  <c r="F53" i="50" s="1"/>
  <c r="F16" i="29"/>
  <c r="F46" i="29"/>
  <c r="F37" i="50" l="1"/>
  <c r="F38" i="50" s="1"/>
  <c r="F48" i="29"/>
  <c r="F49" i="29" s="1"/>
  <c r="F47" i="29"/>
  <c r="E34" i="50" l="1"/>
  <c r="E16" i="29"/>
  <c r="E46" i="29"/>
  <c r="E47" i="29" s="1"/>
  <c r="E48" i="29" l="1"/>
  <c r="E49" i="29" s="1"/>
  <c r="E40" i="50"/>
  <c r="E49" i="50" s="1"/>
  <c r="E52" i="50" s="1"/>
  <c r="E53" i="50" s="1"/>
  <c r="E37" i="50"/>
  <c r="E38" i="50" s="1"/>
  <c r="D34" i="50" l="1"/>
  <c r="D16" i="29" l="1"/>
  <c r="D46" i="29"/>
  <c r="D40" i="50"/>
  <c r="D49" i="50" s="1"/>
  <c r="D52" i="50" s="1"/>
  <c r="D53" i="50" s="1"/>
  <c r="D37" i="50"/>
  <c r="D38" i="50" s="1"/>
  <c r="D48" i="29" l="1"/>
  <c r="D49" i="29" s="1"/>
  <c r="D47" i="29"/>
  <c r="C34" i="50" l="1"/>
  <c r="C40" i="50" s="1"/>
  <c r="C49" i="50" s="1"/>
  <c r="C52" i="50" s="1"/>
  <c r="C53" i="50" s="1"/>
  <c r="C46" i="29"/>
  <c r="C47" i="29" s="1"/>
  <c r="C16" i="29"/>
  <c r="C37" i="50" l="1"/>
  <c r="C38" i="50" s="1"/>
  <c r="C48" i="29"/>
  <c r="C49" i="29" s="1"/>
  <c r="O43" i="49" l="1"/>
  <c r="O54" i="49" s="1"/>
  <c r="K51" i="49"/>
  <c r="K50" i="49"/>
  <c r="J54" i="49"/>
  <c r="O40" i="49"/>
  <c r="F56" i="49" l="1"/>
  <c r="O41" i="49" l="1"/>
  <c r="O56" i="49" s="1"/>
  <c r="J56" i="49" l="1"/>
  <c r="J62" i="49" l="1"/>
  <c r="J20" i="49" l="1"/>
  <c r="J57" i="49"/>
  <c r="J58" i="49"/>
  <c r="J60" i="49" l="1"/>
  <c r="J16" i="49"/>
  <c r="J22" i="49" l="1"/>
  <c r="J23" i="49" s="1"/>
  <c r="J29" i="49" s="1"/>
  <c r="J59" i="49"/>
  <c r="J28" i="49"/>
  <c r="J36" i="49" s="1"/>
  <c r="J49" i="49" l="1"/>
  <c r="O49" i="49" s="1"/>
  <c r="J53" i="49"/>
  <c r="J51" i="49"/>
  <c r="J33" i="49"/>
  <c r="J35" i="49" l="1"/>
  <c r="J47" i="49"/>
  <c r="O47" i="49" s="1"/>
  <c r="J55" i="49"/>
  <c r="J48" i="49" l="1"/>
  <c r="O48" i="49" s="1"/>
  <c r="J52" i="49"/>
  <c r="J50" i="49"/>
  <c r="I40" i="34" l="1"/>
  <c r="I47" i="34" s="1"/>
  <c r="F34" i="34"/>
  <c r="F47" i="34" s="1"/>
  <c r="L56" i="49" l="1"/>
  <c r="M51" i="49" l="1"/>
  <c r="L54" i="49" l="1"/>
  <c r="M50" i="49"/>
  <c r="L62" i="49" l="1"/>
  <c r="L57" i="49" l="1"/>
  <c r="L20" i="49"/>
  <c r="L60" i="49" l="1"/>
  <c r="L58" i="49"/>
  <c r="L16" i="49"/>
  <c r="L22" i="49" s="1"/>
  <c r="L59" i="49" l="1"/>
  <c r="L28" i="49"/>
  <c r="L23" i="49"/>
  <c r="L29" i="49" s="1"/>
  <c r="L36" i="49" l="1"/>
  <c r="L49" i="49" l="1"/>
  <c r="L53" i="49"/>
  <c r="L51" i="49"/>
  <c r="P43" i="49" l="1"/>
  <c r="P54" i="49" s="1"/>
  <c r="L43" i="35" l="1"/>
  <c r="K43" i="35" l="1"/>
  <c r="J43" i="35" l="1"/>
  <c r="I43" i="35" l="1"/>
  <c r="H43" i="35" l="1"/>
  <c r="N74" i="34" l="1"/>
  <c r="N78" i="34" s="1"/>
  <c r="N40" i="36" l="1"/>
  <c r="N71" i="36"/>
  <c r="N64" i="36"/>
  <c r="N57" i="36"/>
  <c r="N75" i="36" l="1"/>
  <c r="N68" i="36"/>
  <c r="N61" i="36"/>
  <c r="P40" i="49" l="1"/>
  <c r="N56" i="49" l="1"/>
  <c r="P41" i="49"/>
  <c r="P56" i="49" s="1"/>
  <c r="N43" i="35" l="1"/>
  <c r="N62" i="49" l="1"/>
  <c r="N12" i="43" l="1"/>
  <c r="N22" i="29"/>
  <c r="N20" i="49"/>
  <c r="N48" i="50"/>
  <c r="N16" i="29" l="1"/>
  <c r="N21" i="50"/>
  <c r="N25" i="50" s="1"/>
  <c r="N60" i="49"/>
  <c r="N16" i="49"/>
  <c r="N22" i="49" s="1"/>
  <c r="N57" i="49"/>
  <c r="N58" i="49"/>
  <c r="N13" i="29"/>
  <c r="N59" i="49" l="1"/>
  <c r="N23" i="49"/>
  <c r="N29" i="49" s="1"/>
  <c r="N28" i="49"/>
  <c r="N31" i="50"/>
  <c r="N34" i="50" s="1"/>
  <c r="N28" i="50"/>
  <c r="N29" i="50" s="1"/>
  <c r="N40" i="50" l="1"/>
  <c r="N49" i="50" s="1"/>
  <c r="N52" i="50" s="1"/>
  <c r="N53" i="50" s="1"/>
  <c r="N37" i="50"/>
  <c r="N38" i="50" s="1"/>
  <c r="N33" i="49"/>
  <c r="N35" i="49" s="1"/>
  <c r="N36" i="49"/>
  <c r="N50" i="49" l="1"/>
  <c r="N48" i="49"/>
  <c r="N52" i="49"/>
  <c r="N49" i="49"/>
  <c r="P49" i="49" s="1"/>
  <c r="N53" i="49"/>
  <c r="N51" i="49"/>
  <c r="N47" i="49"/>
  <c r="N55" i="49"/>
  <c r="N42" i="29" l="1"/>
  <c r="N46" i="29"/>
  <c r="N48" i="29" l="1"/>
  <c r="N49" i="29" s="1"/>
  <c r="N47" i="29"/>
  <c r="L46" i="29" l="1"/>
  <c r="L33" i="49"/>
  <c r="L48" i="50"/>
  <c r="L21" i="50" l="1"/>
  <c r="L25" i="50" s="1"/>
  <c r="L28" i="50" s="1"/>
  <c r="L29" i="50" s="1"/>
  <c r="L47" i="49"/>
  <c r="L35" i="49"/>
  <c r="L55" i="49"/>
  <c r="L47" i="29"/>
  <c r="L48" i="29"/>
  <c r="L49" i="29" s="1"/>
  <c r="L31" i="50" l="1"/>
  <c r="L34" i="50" s="1"/>
  <c r="L40" i="50" s="1"/>
  <c r="L49" i="50" s="1"/>
  <c r="L52" i="50" s="1"/>
  <c r="L53" i="50" s="1"/>
  <c r="P53" i="50" s="1"/>
  <c r="L50" i="49"/>
  <c r="L52" i="49"/>
  <c r="L48" i="49"/>
  <c r="L37" i="50" l="1"/>
  <c r="L38" i="50" s="1"/>
  <c r="P62" i="49" l="1"/>
  <c r="P20" i="49" l="1"/>
  <c r="P58" i="49" l="1"/>
  <c r="P21" i="50" l="1"/>
  <c r="P48" i="50"/>
  <c r="P16" i="49"/>
  <c r="P57" i="49"/>
  <c r="P60" i="49"/>
  <c r="P25" i="50" l="1"/>
  <c r="P31" i="50" s="1"/>
  <c r="P34" i="50" s="1"/>
  <c r="P22" i="49"/>
  <c r="P59" i="49"/>
  <c r="P28" i="50" l="1"/>
  <c r="P29" i="50" s="1"/>
  <c r="P40" i="50"/>
  <c r="P52" i="50" s="1"/>
  <c r="P37" i="50"/>
  <c r="P38" i="50" s="1"/>
  <c r="P28" i="49"/>
  <c r="P23" i="49"/>
  <c r="P29" i="49" s="1"/>
  <c r="P36" i="49" l="1"/>
  <c r="P33" i="49"/>
  <c r="P55" i="49" l="1"/>
  <c r="P47" i="49"/>
  <c r="P35" i="49"/>
  <c r="P53" i="49"/>
  <c r="P51" i="49"/>
  <c r="P50" i="49" l="1"/>
  <c r="P48" i="49"/>
  <c r="P52" i="49"/>
  <c r="O62" i="49" l="1"/>
  <c r="O20" i="49" l="1"/>
  <c r="O48" i="50"/>
  <c r="O58" i="49"/>
  <c r="O21" i="50" l="1"/>
  <c r="O25" i="50" s="1"/>
  <c r="O57" i="49"/>
  <c r="O16" i="49"/>
  <c r="O60" i="49"/>
  <c r="O22" i="49" l="1"/>
  <c r="O59" i="49"/>
  <c r="O28" i="50"/>
  <c r="O31" i="50"/>
  <c r="O34" i="50" s="1"/>
  <c r="O37" i="50" l="1"/>
  <c r="O40" i="50"/>
  <c r="O49" i="50" s="1"/>
  <c r="O52" i="50" s="1"/>
  <c r="O23" i="49"/>
  <c r="O29" i="49" s="1"/>
  <c r="O28" i="49"/>
  <c r="O36" i="49" l="1"/>
  <c r="O33" i="49"/>
  <c r="O55" i="49" l="1"/>
  <c r="O35" i="49"/>
  <c r="O51" i="49"/>
  <c r="O53" i="49"/>
  <c r="O52" i="49" l="1"/>
  <c r="O50" i="49"/>
</calcChain>
</file>

<file path=xl/sharedStrings.xml><?xml version="1.0" encoding="utf-8"?>
<sst xmlns="http://schemas.openxmlformats.org/spreadsheetml/2006/main" count="936" uniqueCount="635">
  <si>
    <t>(million €)</t>
  </si>
  <si>
    <t>Net interest income</t>
  </si>
  <si>
    <t>Staff costs</t>
  </si>
  <si>
    <t>Share of profit of associates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</si>
  <si>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</si>
  <si>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</si>
  <si>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</si>
  <si>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</si>
  <si>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</si>
  <si>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</si>
  <si>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</si>
  <si>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</si>
  <si>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</si>
  <si>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</si>
  <si>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</si>
  <si>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</si>
  <si>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</si>
  <si>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Fitch</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</si>
  <si>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</si>
  <si>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</si>
  <si>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</si>
  <si>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</si>
  <si>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</si>
  <si>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</si>
  <si>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</si>
  <si>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</si>
  <si>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</si>
  <si>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</si>
  <si>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</si>
  <si>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</si>
  <si>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</si>
  <si>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</si>
  <si>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</si>
  <si>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</si>
  <si>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</si>
  <si>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</si>
  <si>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</si>
  <si>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</si>
  <si>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</si>
  <si>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</si>
  <si>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</si>
  <si>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</si>
  <si>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</si>
  <si>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</si>
  <si>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</si>
  <si>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</si>
  <si>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</si>
  <si>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</si>
  <si>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</si>
  <si>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</si>
  <si>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</si>
  <si>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</si>
  <si>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</si>
  <si>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</si>
  <si>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</si>
  <si>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</si>
  <si>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</si>
  <si>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Sales</t>
  </si>
  <si>
    <t>NPE | End of period</t>
  </si>
  <si>
    <t>Write-offs</t>
  </si>
  <si>
    <t>Curings, Collections, Liquidations</t>
  </si>
  <si>
    <t>Total Regulatory Capital</t>
  </si>
  <si>
    <t>Risk Weighted Assets</t>
  </si>
  <si>
    <t>Common Equity Tier I</t>
  </si>
  <si>
    <t>2. OPEKEPE (seasonal loan to farmers)</t>
  </si>
  <si>
    <t>Common Equity Tier I ratio</t>
  </si>
  <si>
    <t>Total Capital Ratio</t>
  </si>
  <si>
    <t>Capital figures include profit for the period throughout the time horizon presented</t>
  </si>
  <si>
    <t>B (Stable)</t>
  </si>
  <si>
    <t>4. Mortgage loans</t>
  </si>
  <si>
    <t xml:space="preserve">5. Consumer loans </t>
  </si>
  <si>
    <t>6. Loans to Individuals</t>
  </si>
  <si>
    <t>DBRS</t>
  </si>
  <si>
    <t>Q1 2022</t>
  </si>
  <si>
    <t>Q1.22</t>
  </si>
  <si>
    <t>B- (Positive)</t>
  </si>
  <si>
    <t>o/w underlying</t>
  </si>
  <si>
    <t>Group data, amounts in €mn</t>
  </si>
  <si>
    <t>o/w NPEs</t>
  </si>
  <si>
    <t>o/w PEs</t>
  </si>
  <si>
    <t>Loans</t>
  </si>
  <si>
    <t>Bancassurance</t>
  </si>
  <si>
    <t>Brokerage</t>
  </si>
  <si>
    <t>Financing</t>
  </si>
  <si>
    <t>Investment</t>
  </si>
  <si>
    <t>Payments</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</si>
  <si>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</si>
  <si>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</si>
  <si>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</si>
  <si>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</si>
  <si>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</si>
  <si>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</si>
  <si>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</si>
  <si>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</si>
  <si>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</si>
  <si>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</si>
  <si>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</si>
  <si>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</si>
  <si>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</si>
  <si>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</si>
  <si>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</si>
  <si>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</si>
  <si>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</si>
  <si>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</si>
  <si>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</si>
  <si>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</si>
  <si>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</si>
  <si>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 xml:space="preserve">Mortgages </t>
  </si>
  <si>
    <t>Total loans</t>
  </si>
  <si>
    <t>LOAN LOSS RESERVES</t>
  </si>
  <si>
    <t>PERFORMING LOANS</t>
  </si>
  <si>
    <t xml:space="preserve">     &gt;&gt; SME</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</si>
  <si>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</si>
  <si>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</si>
  <si>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</si>
  <si>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</si>
  <si>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</si>
  <si>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</si>
  <si>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</si>
  <si>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</si>
  <si>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</si>
  <si>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</si>
  <si>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</si>
  <si>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</si>
  <si>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</si>
  <si>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</si>
  <si>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</si>
  <si>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</si>
  <si>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</si>
  <si>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</si>
  <si>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</si>
  <si>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Q2.22</t>
  </si>
  <si>
    <t>Q2 2022</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</si>
  <si>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</si>
  <si>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</si>
  <si>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</si>
  <si>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</si>
  <si>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</si>
  <si>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</si>
  <si>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</si>
  <si>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</si>
  <si>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</si>
  <si>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</si>
  <si>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</si>
  <si>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 xml:space="preserve">3. Gross loans and advances to customers </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</si>
  <si>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</si>
  <si>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</si>
  <si>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</si>
  <si>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</si>
  <si>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</si>
  <si>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</si>
  <si>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</si>
  <si>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</si>
  <si>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</si>
  <si>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</si>
  <si>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</si>
  <si>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</si>
  <si>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</si>
  <si>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</si>
  <si>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</si>
  <si>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</si>
  <si>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</si>
  <si>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</si>
  <si>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</si>
  <si>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</si>
  <si>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</si>
  <si>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</si>
  <si>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</si>
  <si>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</si>
  <si>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</si>
  <si>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</si>
  <si>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</si>
  <si>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</si>
  <si>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</si>
  <si>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</si>
  <si>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</si>
  <si>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</si>
  <si>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Q3 2022</t>
  </si>
  <si>
    <t>Q3.22</t>
  </si>
  <si>
    <t>n.m.</t>
  </si>
  <si>
    <t>IT - telco</t>
  </si>
  <si>
    <t>1 Oct.22</t>
  </si>
  <si>
    <t>Q4.22</t>
  </si>
  <si>
    <t>Q4 2022</t>
  </si>
  <si>
    <t>-</t>
  </si>
  <si>
    <t xml:space="preserve">of which one-off </t>
  </si>
  <si>
    <t>Other impairments &amp; associates' income</t>
  </si>
  <si>
    <t>Associates' income one-off</t>
  </si>
  <si>
    <t>NIM on average assets</t>
  </si>
  <si>
    <t xml:space="preserve">     o/w Senior notes</t>
  </si>
  <si>
    <t>Ba3 (Stable)</t>
  </si>
  <si>
    <t>B2 (Positive)</t>
  </si>
  <si>
    <t>B high (Stable)</t>
  </si>
  <si>
    <t>Total inflows</t>
  </si>
  <si>
    <t>o/w business</t>
  </si>
  <si>
    <t>o/w mortgage</t>
  </si>
  <si>
    <t>o/w consumer</t>
  </si>
  <si>
    <t>Other Discontinued (Imithea SA until 30.06.22)</t>
  </si>
  <si>
    <t>Net fee income</t>
  </si>
  <si>
    <t>NPEs | Beginning of period</t>
  </si>
  <si>
    <t>Q1 2023</t>
  </si>
  <si>
    <t>Q1.23</t>
  </si>
  <si>
    <t>Q2.23</t>
  </si>
  <si>
    <t>Q2 2023</t>
  </si>
  <si>
    <t>Tax normalized</t>
  </si>
  <si>
    <t>B+ (Positive)</t>
  </si>
  <si>
    <t>* Gross loans, NPEs &amp; NPLs include loans and advances to customers fair valued through P&amp;L. LLRs include ECL allowance for impairment losses on loans and advances to customers mandatorily measured at FVTPL</t>
  </si>
  <si>
    <t>NFI/Assets</t>
  </si>
  <si>
    <t>6. Securities inc. derivatives</t>
  </si>
  <si>
    <t>* Q2.23 business inflow elevated due to one corporate  client defaulting</t>
  </si>
  <si>
    <t>Q3.23</t>
  </si>
  <si>
    <t>Q3 2023</t>
  </si>
  <si>
    <t>Ba1 (Positive)</t>
  </si>
  <si>
    <t>BB- (Stable)</t>
  </si>
  <si>
    <t>1. Balances and related income exclude senior tranches and CLOs</t>
  </si>
  <si>
    <t>2. Interest earning assets are total assets excluding equity and mutual fund financial assets, participations, goodwill and intangibles, fixed assets, deferred tax assets and discontinued</t>
  </si>
  <si>
    <t>NII/Assets</t>
  </si>
  <si>
    <t>Merchant acquiring business carveout</t>
  </si>
  <si>
    <t xml:space="preserve">          of which G&amp;A costs recurring</t>
  </si>
  <si>
    <t>Extraordinary general expenses for extreme weather phenomena</t>
  </si>
  <si>
    <t>Staff costs recurring</t>
  </si>
  <si>
    <t>VES costs</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</si>
  <si>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</si>
  <si>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</si>
  <si>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</si>
  <si>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</si>
  <si>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</si>
  <si>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</si>
  <si>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</si>
  <si>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</si>
  <si>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</si>
  <si>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</si>
  <si>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</si>
  <si>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</si>
  <si>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</si>
  <si>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</si>
  <si>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</si>
  <si>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</si>
  <si>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</si>
  <si>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</si>
  <si>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</si>
  <si>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Underlying cost of risk</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</si>
  <si>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</si>
  <si>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</si>
  <si>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</si>
  <si>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</si>
  <si>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</si>
  <si>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</si>
  <si>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</si>
  <si>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</si>
  <si>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</si>
  <si>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</si>
  <si>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</si>
  <si>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</si>
  <si>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</si>
  <si>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</si>
  <si>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</si>
  <si>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</si>
  <si>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</si>
  <si>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</si>
  <si>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</si>
  <si>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</si>
  <si>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</si>
  <si>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</si>
  <si>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</si>
  <si>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</si>
  <si>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</si>
  <si>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</si>
  <si>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</si>
  <si>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</si>
  <si>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</si>
  <si>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</si>
  <si>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</si>
  <si>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</si>
  <si>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</si>
  <si>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</si>
  <si>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</si>
  <si>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</si>
  <si>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</si>
  <si>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</si>
  <si>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</si>
  <si>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</si>
  <si>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</si>
  <si>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</si>
  <si>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</si>
  <si>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</si>
  <si>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</si>
  <si>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</si>
  <si>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</si>
  <si>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</si>
  <si>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Loan impairment</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</si>
  <si>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</si>
  <si>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</si>
  <si>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</si>
  <si>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</si>
  <si>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</si>
  <si>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</si>
  <si>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</si>
  <si>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</si>
  <si>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</si>
  <si>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</si>
  <si>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</si>
  <si>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</si>
  <si>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</si>
  <si>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</si>
  <si>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</si>
  <si>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</si>
  <si>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</si>
  <si>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</si>
  <si>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</si>
  <si>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</si>
  <si>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</si>
  <si>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</si>
  <si>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</si>
  <si>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</si>
  <si>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Fully loaded data</t>
  </si>
  <si>
    <t>(1) OPEKEPE relates to a seasonal funding facility to Greek farmers (EU subsidized bridge financing); the loan is granted close to year end and is repaid early next year</t>
  </si>
  <si>
    <t>* CORE: excluding one off elements and trading/other income; NORMALIZED: excluding one off elements and including normalized/recurring trading/other income</t>
  </si>
  <si>
    <t>(1) Profit before tax illustrated on the table excludes cards merchant acquiring business consideration and non-recurring operating costs</t>
  </si>
  <si>
    <t>G&amp;A costs recurring</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</si>
  <si>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</si>
  <si>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</si>
  <si>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</si>
  <si>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</si>
  <si>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</si>
  <si>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</si>
  <si>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</si>
  <si>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</si>
  <si>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</si>
  <si>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</si>
  <si>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</si>
  <si>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</si>
  <si>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Q4.23</t>
  </si>
  <si>
    <t>Q4 2023</t>
  </si>
  <si>
    <t>BB- (Positive)</t>
  </si>
  <si>
    <t>BB (Stable)</t>
  </si>
  <si>
    <t>Non-maturing deposits hedging cost</t>
  </si>
  <si>
    <t>TBV per share</t>
  </si>
  <si>
    <t>(1)  Q1, Q2, Q3.22 net fee  &amp; rental income and general expenses have been restated to reflect the reclassification of €6.5mn relating to fees paid to card services provider, which were previously included within general expenses to net fee income as an expense. Comparative information have been restated backwards for 2021 in order to align with the aforementioned changes; Q3.23 general expenses include €16mn extraordinary costs to mitigate the impact of extreme weather phenomena</t>
  </si>
  <si>
    <t>(1) For 31.03.2022 discontinued operations also include Sunshine Leasing NPE portfolio along with other corporate NPE tickets similarly categorized</t>
  </si>
  <si>
    <t>(2) For 30.06.2022 discontinued operations also include Sunrise 3 NPE loan portfolio, Solar NPE loan portfolio, Sunshine Leasing NPE portfolio along with other corporate NPE tickets similarly categorized</t>
  </si>
  <si>
    <t>(3) For 30.09.2022 discontinued operations have zeroed on the back of the loss of control over IMITHEA; figure includes Sunrise 3 NPE loan portfolio, Solar NPE loan portfolio, Sunshine Leasing NPE portfolio along with other corporate NPE tickets similarly categorized</t>
  </si>
  <si>
    <t>(4) For 31.12.2022 figure includes Sunrise 3 NPE loan portfolio, Solar NPE loan portfolio, Sunshine Leasing NPE portfolio along with other corporate NPE tickets similarly categorized</t>
  </si>
  <si>
    <t>(5) For 31.03.2023 figure includes Sunrise 3 NPE loan portfolio, Solar NPE loan portfolio, Sunshine Leasing NPE portfolio along with other corporate NPE tickets similarly categorized</t>
  </si>
  <si>
    <t>(6) For 30.06.2023 figure includes Sunrise 3 NPE loan portfolio, Solar NPE loan portfolio, Sunshine Leasing NPE portfolio, Delta NPE loan portfolio along with other corporate NPE tickets similarly categorized</t>
  </si>
  <si>
    <t>(7) For 30.09.2023 figure includes Sunrise 3 NPE loan portfolio, Solar NPE loan portfolio, Delta NPE loan portfolio along with other corporate NPE tickets similarly categorized</t>
  </si>
  <si>
    <t>(8) For 31.12.2023 figure includes Solar NPE loan portfolio, Delta NPE loan portfolio, Monza NPE loan portfolio along with other corporate NPE tickets similarly categorized</t>
  </si>
  <si>
    <t xml:space="preserve">Rental income and income from non-banking activities </t>
  </si>
  <si>
    <t>(2) Q3.23 net trading result mainly derived from market making and other primary market activity</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</si>
  <si>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</si>
  <si>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</si>
  <si>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</si>
  <si>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</si>
  <si>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</si>
  <si>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</si>
  <si>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</si>
  <si>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</si>
  <si>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</si>
  <si>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</si>
  <si>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</si>
  <si>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</si>
  <si>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</si>
  <si>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</si>
  <si>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</si>
  <si>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</si>
  <si>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</si>
  <si>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</si>
  <si>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</si>
  <si>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</si>
  <si>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</si>
  <si>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</si>
  <si>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</si>
  <si>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</si>
  <si>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</si>
  <si>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</si>
  <si>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</si>
  <si>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</si>
  <si>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</si>
  <si>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</si>
  <si>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</si>
  <si>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</si>
  <si>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</si>
  <si>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8.25% | Annual</t>
  </si>
  <si>
    <t>28-Nov-22</t>
  </si>
  <si>
    <t>28-Jan-26</t>
  </si>
  <si>
    <t>571.5 bps</t>
  </si>
  <si>
    <t>28-Jan-27</t>
  </si>
  <si>
    <t>XS2559486019</t>
  </si>
  <si>
    <t>7.25% | Annual</t>
  </si>
  <si>
    <t>13-Jul-23</t>
  </si>
  <si>
    <t>13-Jul-27</t>
  </si>
  <si>
    <t>369.2 bps</t>
  </si>
  <si>
    <t>13-Jul-28</t>
  </si>
  <si>
    <t>XS2644936259</t>
  </si>
  <si>
    <t>6.75% | Annual</t>
  </si>
  <si>
    <t>05-Dec-23</t>
  </si>
  <si>
    <t>05-Dec-28</t>
  </si>
  <si>
    <t>383.7 bps</t>
  </si>
  <si>
    <t>05-Dec-29</t>
  </si>
  <si>
    <t>XS2728486536</t>
  </si>
  <si>
    <t xml:space="preserve">Piraeus Financial Holdings  S.A. </t>
  </si>
  <si>
    <t>5.00% | Annual</t>
  </si>
  <si>
    <t>16-Apr-24</t>
  </si>
  <si>
    <t>16-Apr-29</t>
  </si>
  <si>
    <t>224.5 bps</t>
  </si>
  <si>
    <t>16-Apr-30</t>
  </si>
  <si>
    <t>XS2802909478</t>
  </si>
  <si>
    <t>477.3 bps</t>
  </si>
  <si>
    <t>XS2747093321</t>
  </si>
  <si>
    <t xml:space="preserve">Piraeus Financial  Holdings  S.A. </t>
  </si>
  <si>
    <t>8.75% | Semi-Annual</t>
  </si>
  <si>
    <t>16-Jun-21</t>
  </si>
  <si>
    <t>16-Jun-26</t>
  </si>
  <si>
    <t>919.5 bps</t>
  </si>
  <si>
    <t>Perpetual</t>
  </si>
  <si>
    <t>200k +1k</t>
  </si>
  <si>
    <t xml:space="preserve">XS2354777265 </t>
  </si>
  <si>
    <t>STANDALONE</t>
  </si>
  <si>
    <t>€500mn 3.875% 
6NC5 SP Green Notes 
due 2027</t>
  </si>
  <si>
    <t>€350mn 8.25% 
5NC4 SP Notes   
due 2027</t>
  </si>
  <si>
    <t>€500mn 7.25% 
5NC4 SP Notes 
due 2028</t>
  </si>
  <si>
    <t>€500mn 6.75% 
6NC5 SP Notes 
due 2029</t>
  </si>
  <si>
    <t>€500mn 5.00% 
6NC5 SP Notes 
due 2030</t>
  </si>
  <si>
    <t xml:space="preserve">€500mn 7.250% 
10.25NC5.25 Tier 2 
due 2034 </t>
  </si>
  <si>
    <t xml:space="preserve">€600mn 8.75% 
PerpNC5.5 AT1 Notes </t>
  </si>
  <si>
    <t>(9) For 31.03.2024 figure includes Solar NPE loan portfolio, Delta NPE loan portfolio, Monza NPE loan portfolio along with other corporate NPE tickets similarly categorized</t>
  </si>
  <si>
    <t>6. Piraeus Securities</t>
  </si>
  <si>
    <t>(10) 31.12.2022 derivative financial instruments, other assets, other liabilities and total assets have been reclassified for comparability with 31.12.2023, and every following quarter, figures that reflect the offsetting of derivatives and the reclassification of accruals from other assets/liabilities to derivatives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</si>
  <si>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</si>
  <si>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</si>
  <si>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</si>
  <si>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</si>
  <si>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</si>
  <si>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</si>
  <si>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</si>
  <si>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</si>
  <si>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</si>
  <si>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</si>
  <si>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</si>
  <si>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</si>
  <si>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</si>
  <si>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</si>
  <si>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</si>
  <si>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</si>
  <si>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</si>
  <si>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</si>
  <si>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</si>
  <si>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</si>
  <si>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(2) Assets under management include MFMC assets, Private Banking assets, Brokerage and Custody. Iolcus is included as at 30 March 2022</t>
  </si>
  <si>
    <r>
      <t>Pre provision income</t>
    </r>
    <r>
      <rPr>
        <b/>
        <sz val="12"/>
        <color rgb="FFF55240"/>
        <rFont val="Piraeus Open Sans"/>
      </rPr>
      <t xml:space="preserve"> </t>
    </r>
    <r>
      <rPr>
        <b/>
        <sz val="12"/>
        <color rgb="FF002F30"/>
        <rFont val="Piraeus Open Sans"/>
      </rPr>
      <t>reported</t>
    </r>
  </si>
  <si>
    <t>Q2 2024</t>
  </si>
  <si>
    <t>Q2.24</t>
  </si>
  <si>
    <r>
      <t xml:space="preserve">Net fee income &amp; rental/non bank income </t>
    </r>
    <r>
      <rPr>
        <vertAlign val="superscript"/>
        <sz val="12"/>
        <color rgb="FF002F30"/>
        <rFont val="Piraeus Open Sans"/>
      </rPr>
      <t>(1)</t>
    </r>
  </si>
  <si>
    <r>
      <t xml:space="preserve">Impairment on other assets </t>
    </r>
    <r>
      <rPr>
        <vertAlign val="superscript"/>
        <sz val="12"/>
        <color rgb="FF002F30"/>
        <rFont val="Piraeus Open Sans"/>
      </rPr>
      <t>(2)</t>
    </r>
  </si>
  <si>
    <r>
      <t>31/12/2022</t>
    </r>
    <r>
      <rPr>
        <b/>
        <vertAlign val="superscript"/>
        <sz val="12"/>
        <color rgb="FF002F30"/>
        <rFont val="Piraeus Open Sans"/>
      </rPr>
      <t>(10)</t>
    </r>
  </si>
  <si>
    <r>
      <t>2. Seasonal OPEKEPE</t>
    </r>
    <r>
      <rPr>
        <b/>
        <vertAlign val="superscript"/>
        <sz val="12"/>
        <color rgb="FF002F30"/>
        <rFont val="Piraeus Open Sans"/>
      </rPr>
      <t>1</t>
    </r>
  </si>
  <si>
    <r>
      <t>4. Assets under management</t>
    </r>
    <r>
      <rPr>
        <b/>
        <vertAlign val="superscript"/>
        <sz val="12"/>
        <color rgb="FF002F30"/>
        <rFont val="Piraeus Open Sans"/>
      </rPr>
      <t>2</t>
    </r>
  </si>
  <si>
    <r>
      <t xml:space="preserve">Net fee and commission income </t>
    </r>
    <r>
      <rPr>
        <vertAlign val="superscript"/>
        <sz val="12"/>
        <color rgb="FF002F30"/>
        <rFont val="Piraeus Open Sans"/>
      </rPr>
      <t>(1)</t>
    </r>
  </si>
  <si>
    <r>
      <t xml:space="preserve">Net trading result </t>
    </r>
    <r>
      <rPr>
        <vertAlign val="superscript"/>
        <sz val="12"/>
        <color rgb="FF002F30"/>
        <rFont val="Piraeus Open Sans"/>
      </rPr>
      <t>(2)</t>
    </r>
  </si>
  <si>
    <r>
      <t xml:space="preserve">Administrative expenses </t>
    </r>
    <r>
      <rPr>
        <vertAlign val="superscript"/>
        <sz val="12"/>
        <color rgb="FF002F30"/>
        <rFont val="Piraeus Open Sans"/>
      </rPr>
      <t>(1)</t>
    </r>
  </si>
  <si>
    <r>
      <t>o/w inorganic (losses on NPE sales)</t>
    </r>
    <r>
      <rPr>
        <vertAlign val="superscript"/>
        <sz val="12"/>
        <color theme="0" tint="-0.499984740745262"/>
        <rFont val="Piraeus Open Sans"/>
      </rPr>
      <t>(4)</t>
    </r>
  </si>
  <si>
    <r>
      <t xml:space="preserve">Other impairment </t>
    </r>
    <r>
      <rPr>
        <vertAlign val="superscript"/>
        <sz val="12"/>
        <color rgb="FF002F30"/>
        <rFont val="Piraeus Open Sans"/>
      </rPr>
      <t>(5)</t>
    </r>
  </si>
  <si>
    <r>
      <t>Normalized Income tax expense</t>
    </r>
    <r>
      <rPr>
        <i/>
        <vertAlign val="superscript"/>
        <sz val="12"/>
        <color rgb="FF002F30"/>
        <rFont val="Piraeus Open Sans"/>
      </rPr>
      <t>(6)</t>
    </r>
  </si>
  <si>
    <r>
      <t>Normalized operating profit</t>
    </r>
    <r>
      <rPr>
        <b/>
        <vertAlign val="superscript"/>
        <sz val="14"/>
        <color rgb="FF002F30"/>
        <rFont val="Piraeus Open Sans"/>
      </rPr>
      <t>(7)</t>
    </r>
  </si>
  <si>
    <r>
      <t>PE yield</t>
    </r>
    <r>
      <rPr>
        <b/>
        <vertAlign val="superscript"/>
        <sz val="14"/>
        <color rgb="FF002F30"/>
        <rFont val="Piraeus Open Sans"/>
      </rPr>
      <t>1</t>
    </r>
  </si>
  <si>
    <r>
      <t>NIM on average interest earning assets</t>
    </r>
    <r>
      <rPr>
        <b/>
        <vertAlign val="superscript"/>
        <sz val="14"/>
        <color rgb="FF002F30"/>
        <rFont val="Piraeus Open Sans"/>
      </rPr>
      <t>2</t>
    </r>
  </si>
  <si>
    <r>
      <t>Other one-offs</t>
    </r>
    <r>
      <rPr>
        <vertAlign val="superscript"/>
        <sz val="12"/>
        <color rgb="FF002F30"/>
        <rFont val="Piraeus Open Sans"/>
      </rPr>
      <t>(1)</t>
    </r>
  </si>
  <si>
    <r>
      <t>Other</t>
    </r>
    <r>
      <rPr>
        <vertAlign val="superscript"/>
        <sz val="12"/>
        <color rgb="FF002F30"/>
        <rFont val="Piraeus Open Sans"/>
      </rPr>
      <t>(2)</t>
    </r>
  </si>
  <si>
    <r>
      <t>Profit before tax</t>
    </r>
    <r>
      <rPr>
        <b/>
        <vertAlign val="superscript"/>
        <sz val="12"/>
        <color rgb="FF002F30"/>
        <rFont val="Piraeus Open Sans"/>
      </rPr>
      <t>(1)</t>
    </r>
  </si>
  <si>
    <r>
      <t xml:space="preserve">Total CIB </t>
    </r>
    <r>
      <rPr>
        <sz val="12"/>
        <color rgb="FF002F30"/>
        <rFont val="Piraeus Open Sans"/>
      </rPr>
      <t>(Corporate, SME &amp; Shipping)</t>
    </r>
  </si>
  <si>
    <r>
      <t>Pro-Forma</t>
    </r>
    <r>
      <rPr>
        <b/>
        <vertAlign val="superscript"/>
        <sz val="12"/>
        <color rgb="FF002F30"/>
        <rFont val="Piraeus Open Sans"/>
      </rPr>
      <t>(1)</t>
    </r>
  </si>
  <si>
    <r>
      <t xml:space="preserve">Profit before tax </t>
    </r>
    <r>
      <rPr>
        <b/>
        <sz val="12"/>
        <color rgb="FF296ED4"/>
        <rFont val="Piraeus Open Sans"/>
      </rPr>
      <t>reported</t>
    </r>
  </si>
  <si>
    <r>
      <rPr>
        <sz val="12"/>
        <color rgb="FF002F30"/>
        <rFont val="Piraeus Open Sans"/>
      </rPr>
      <t xml:space="preserve">Trading &amp; other income </t>
    </r>
    <r>
      <rPr>
        <b/>
        <sz val="12"/>
        <color rgb="FF296ED4"/>
        <rFont val="Piraeus Open Sans"/>
      </rPr>
      <t>normalized</t>
    </r>
  </si>
  <si>
    <r>
      <t>Core EPS (€)</t>
    </r>
    <r>
      <rPr>
        <b/>
        <sz val="12"/>
        <color rgb="FFA8A30A"/>
        <rFont val="Piraeus Open Sans"/>
      </rPr>
      <t xml:space="preserve"> </t>
    </r>
    <r>
      <rPr>
        <b/>
        <sz val="12"/>
        <color rgb="FF296ED4"/>
        <rFont val="Piraeus Open Sans"/>
      </rPr>
      <t>adjusted for AT1 coupon</t>
    </r>
  </si>
  <si>
    <r>
      <t>Normalized EPS (€)</t>
    </r>
    <r>
      <rPr>
        <b/>
        <sz val="12"/>
        <color rgb="FF296ED4"/>
        <rFont val="Piraeus Open Sans"/>
      </rPr>
      <t xml:space="preserve"> adjusted for AT1 coupon</t>
    </r>
  </si>
  <si>
    <r>
      <t>Reported EPS (€)</t>
    </r>
    <r>
      <rPr>
        <b/>
        <sz val="12"/>
        <color theme="0" tint="-0.499984740745262"/>
        <rFont val="Piraeus Open Sans"/>
      </rPr>
      <t xml:space="preserve"> </t>
    </r>
    <r>
      <rPr>
        <b/>
        <sz val="12"/>
        <color rgb="FF296ED4"/>
        <rFont val="Piraeus Open Sans"/>
      </rPr>
      <t>adjusted for AT1 coupon</t>
    </r>
  </si>
  <si>
    <r>
      <t xml:space="preserve">RoaTBV </t>
    </r>
    <r>
      <rPr>
        <b/>
        <sz val="12"/>
        <color rgb="FF296ED4"/>
        <rFont val="Piraeus Open Sans"/>
      </rPr>
      <t>normalized adjusted for AT1 coupon</t>
    </r>
  </si>
  <si>
    <r>
      <t xml:space="preserve">RoaA </t>
    </r>
    <r>
      <rPr>
        <b/>
        <sz val="12"/>
        <color rgb="FF296ED4"/>
        <rFont val="Piraeus Open Sans"/>
      </rPr>
      <t>normalized adjusted for AT1 coupon</t>
    </r>
  </si>
  <si>
    <r>
      <t>Net profit over revenues</t>
    </r>
    <r>
      <rPr>
        <b/>
        <sz val="12"/>
        <color rgb="FFA8A30A"/>
        <rFont val="Piraeus Open Sans"/>
      </rPr>
      <t xml:space="preserve"> </t>
    </r>
    <r>
      <rPr>
        <b/>
        <sz val="12"/>
        <color rgb="FF296ED4"/>
        <rFont val="Piraeus Open Sans"/>
      </rPr>
      <t>core adjusted for AT1 coupon</t>
    </r>
  </si>
  <si>
    <r>
      <t xml:space="preserve">Cost-to-income ratio </t>
    </r>
    <r>
      <rPr>
        <b/>
        <sz val="12"/>
        <color rgb="FF296ED4"/>
        <rFont val="Piraeus Open Sans"/>
      </rPr>
      <t>core</t>
    </r>
  </si>
  <si>
    <r>
      <t xml:space="preserve">CoR </t>
    </r>
    <r>
      <rPr>
        <b/>
        <sz val="12"/>
        <color rgb="FF296ED4"/>
        <rFont val="Piraeus Open Sans"/>
      </rPr>
      <t>underlying</t>
    </r>
  </si>
  <si>
    <r>
      <t xml:space="preserve">CoR </t>
    </r>
    <r>
      <rPr>
        <b/>
        <sz val="12"/>
        <color rgb="FF296ED4"/>
        <rFont val="Piraeus Open Sans"/>
      </rPr>
      <t>organic</t>
    </r>
  </si>
  <si>
    <r>
      <t xml:space="preserve">Pre provision income </t>
    </r>
    <r>
      <rPr>
        <b/>
        <sz val="12"/>
        <color rgb="FF296ED4"/>
        <rFont val="Piraeus Open Sans"/>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</si>
  <si>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</si>
  <si>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</si>
  <si>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</si>
  <si>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</si>
  <si>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</si>
  <si>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</si>
  <si>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</si>
  <si>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</si>
  <si>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</si>
  <si>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</si>
  <si>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</si>
  <si>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</si>
  <si>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</si>
  <si>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</si>
  <si>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</si>
  <si>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 xml:space="preserve">1. Moody’s Rating refers to Long Term Deposit Rating
</t>
  </si>
  <si>
    <r>
      <t>Moody's</t>
    </r>
    <r>
      <rPr>
        <vertAlign val="superscript"/>
        <sz val="12"/>
        <color rgb="FF002F30"/>
        <rFont val="Piraeus Open Sans"/>
      </rPr>
      <t>1</t>
    </r>
  </si>
  <si>
    <r>
      <t xml:space="preserve">23. Liabilities from discontinued operations &amp; held for sale </t>
    </r>
    <r>
      <rPr>
        <vertAlign val="superscript"/>
        <sz val="12"/>
        <color rgb="FF002F30"/>
        <rFont val="Piraeus Open Sans"/>
      </rPr>
      <t>(1,2,3,4,5,6,7,8,9,11)</t>
    </r>
  </si>
  <si>
    <t>3. G-TBills</t>
  </si>
  <si>
    <t>8. G-TBills</t>
  </si>
  <si>
    <t>14. G-TBills</t>
  </si>
  <si>
    <t>*POCI credit imapired refers to purchased or originated credit impaired (“POCI”) loans measured at amortised cost that continue to be credit impaired as of the end of the reporting period</t>
  </si>
  <si>
    <t>** Loan figures do not include loans and advances to customers fair valued through P&amp;L. LLRs do not include ECL allowance for impairment losses on loans and advances to customers mandatorily measured at FVTPL</t>
  </si>
  <si>
    <t>DEBT SECURITIES</t>
  </si>
  <si>
    <r>
      <t>PROPERTY PORTFOLIO</t>
    </r>
    <r>
      <rPr>
        <b/>
        <u/>
        <vertAlign val="superscript"/>
        <sz val="12"/>
        <color rgb="FF002F30"/>
        <rFont val="Piraeus Open Sans"/>
      </rPr>
      <t>3</t>
    </r>
  </si>
  <si>
    <t>(3) Inventory property is included in the "Other assets" line in IFRS accounts</t>
  </si>
  <si>
    <t>Cards &amp; Acquiring</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</si>
  <si>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</si>
  <si>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</si>
  <si>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</si>
  <si>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</si>
  <si>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</si>
  <si>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</si>
  <si>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</si>
  <si>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</si>
  <si>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</si>
  <si>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</si>
  <si>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</si>
  <si>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</si>
  <si>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t>BB high (Positive)</t>
  </si>
  <si>
    <r>
      <t xml:space="preserve">Net profit </t>
    </r>
    <r>
      <rPr>
        <b/>
        <sz val="12"/>
        <color rgb="FF296ED4"/>
        <rFont val="Piraeus Open Sans"/>
      </rPr>
      <t>normalized</t>
    </r>
  </si>
  <si>
    <t>(2) Q3.23 impairments on other assets include small impact from Sunshine closing</t>
  </si>
  <si>
    <t>(11) For 30.06.2024 figure includes Solar NPE loan portfolio, Monza NPE loan portfolio along with other corporate NPE tickets similarly categorized</t>
  </si>
  <si>
    <t>(12) For 30.09.2024 figure includes Solar NPE loan portfolio, along with other corporate NPE tickets similarly categorized</t>
  </si>
  <si>
    <t>(4) Q3.23 onwards inorganic impairments for loans include only losses on NPE sales transactions</t>
  </si>
  <si>
    <t>(1) Q3.23 other staff costs comprise reversal of talent retention accruals due to share buyback; Q4.23 other staff costs comprise share buyback  accruals expensed for talent retention and subsidy for low paid employees</t>
  </si>
  <si>
    <t>(2) Other includes net gain/(losses) from sale of property and equipment and intangible assets</t>
  </si>
  <si>
    <t>(7) As of Q1.24 normalized profits are calculated adjusting one-off items for the 29% tax rate</t>
  </si>
  <si>
    <t>3. Non maturing deposit hedging cost corresponds to €10bn IRSs executed during late Dec.23 and Q1.24; €9bn as at Sep.24</t>
  </si>
  <si>
    <t>o/w DTCs</t>
  </si>
  <si>
    <t>AT1</t>
  </si>
  <si>
    <t>Tier 2</t>
  </si>
  <si>
    <t>Senior Preferred</t>
  </si>
  <si>
    <t>1. Outstanding number of shares</t>
  </si>
  <si>
    <t>3. Weighted average number of shares in issue for the basic EPS calculation</t>
  </si>
  <si>
    <t>4. Weighted average number of shares in issue for the diluted EPS calculation</t>
  </si>
  <si>
    <t>* EPS figures are calculated with the outstanding number of shares. From Q1.24 onwards, EPS are calculated on period-end outstanding number of shares adjusted for treasury shares</t>
  </si>
  <si>
    <t>* From Q1.23 onwards, EPS are calculated on period-end outstanding number of shares adjusted for treasury shares</t>
  </si>
  <si>
    <t>2. From Q1.23 onwards, period-end outstanding number of shares adjusted for treasury shares</t>
  </si>
  <si>
    <r>
      <t>PFH shares (end of period)</t>
    </r>
    <r>
      <rPr>
        <vertAlign val="superscript"/>
        <sz val="12"/>
        <color rgb="FF002F30"/>
        <rFont val="Piraeus Open Sans"/>
      </rPr>
      <t>1</t>
    </r>
  </si>
  <si>
    <r>
      <t>PFH shares minus treasury stock (end of period)</t>
    </r>
    <r>
      <rPr>
        <vertAlign val="superscript"/>
        <sz val="12"/>
        <color rgb="FF002F30"/>
        <rFont val="Piraeus Open Sans"/>
      </rPr>
      <t>2</t>
    </r>
  </si>
  <si>
    <r>
      <t>PFH shares minus treasury stock (average of period)</t>
    </r>
    <r>
      <rPr>
        <vertAlign val="superscript"/>
        <sz val="12"/>
        <color rgb="FF002F30"/>
        <rFont val="Piraeus Open Sans"/>
      </rPr>
      <t>3</t>
    </r>
  </si>
  <si>
    <r>
      <t>Adjusted PFH shares minus treasury stock (avg of period)</t>
    </r>
    <r>
      <rPr>
        <vertAlign val="superscript"/>
        <sz val="12"/>
        <color rgb="FF002F30"/>
        <rFont val="Piraeus Open Sans"/>
      </rPr>
      <t>4</t>
    </r>
  </si>
  <si>
    <t>FY 2024 DATA OF PIRAEUS FINANCIAL HOLDINGS</t>
  </si>
  <si>
    <t>Q4.24</t>
  </si>
  <si>
    <t>P&amp;L SEGMENT VIEW FY.24</t>
  </si>
  <si>
    <t>Q4 2024</t>
  </si>
  <si>
    <t>FY 2023</t>
  </si>
  <si>
    <t>FY 2024</t>
  </si>
  <si>
    <r>
      <t xml:space="preserve">NFI/Revenues </t>
    </r>
    <r>
      <rPr>
        <b/>
        <sz val="12"/>
        <color rgb="FF296ED4"/>
        <rFont val="Piraeus Open Sans"/>
      </rPr>
      <t>normalized</t>
    </r>
  </si>
  <si>
    <r>
      <t xml:space="preserve">RoaTBV </t>
    </r>
    <r>
      <rPr>
        <b/>
        <sz val="12"/>
        <color rgb="FF296ED4"/>
        <rFont val="Piraeus Open Sans"/>
      </rPr>
      <t>reported</t>
    </r>
    <r>
      <rPr>
        <b/>
        <sz val="12"/>
        <color rgb="FF002F30"/>
        <rFont val="Piraeus Open Sans"/>
      </rPr>
      <t xml:space="preserve"> </t>
    </r>
    <r>
      <rPr>
        <b/>
        <sz val="12"/>
        <color rgb="FF296ED4"/>
        <rFont val="Piraeus Open Sans"/>
      </rPr>
      <t>adjusted for AT1 coupon</t>
    </r>
  </si>
  <si>
    <r>
      <t xml:space="preserve">RoaA </t>
    </r>
    <r>
      <rPr>
        <b/>
        <sz val="12"/>
        <color rgb="FF296ED4"/>
        <rFont val="Piraeus Open Sans"/>
      </rPr>
      <t>reported adjusted for AT1 coupon</t>
    </r>
  </si>
  <si>
    <r>
      <t xml:space="preserve">       of which one off fees</t>
    </r>
    <r>
      <rPr>
        <vertAlign val="superscript"/>
        <sz val="12"/>
        <color rgb="FF002F30"/>
        <rFont val="Piraeus Open Sans"/>
      </rPr>
      <t>1</t>
    </r>
  </si>
  <si>
    <t>1. One off fees refer to acquiring fees for 2022 and 2023, and for Q2.24 they are related with the migration in a new partnership in the cards payments space</t>
  </si>
  <si>
    <t>2. Q3.23 net trading result mainly derived from market making and other primary market activity</t>
  </si>
  <si>
    <r>
      <t>Net trading result</t>
    </r>
    <r>
      <rPr>
        <vertAlign val="superscript"/>
        <sz val="12"/>
        <color rgb="FF002F30"/>
        <rFont val="Piraeus Open Sans"/>
      </rPr>
      <t>2</t>
    </r>
  </si>
  <si>
    <r>
      <t>Other operating result</t>
    </r>
    <r>
      <rPr>
        <vertAlign val="superscript"/>
        <sz val="12"/>
        <color rgb="FF002F30"/>
        <rFont val="Piraeus Open Sans"/>
      </rPr>
      <t>3</t>
    </r>
  </si>
  <si>
    <r>
      <t xml:space="preserve">       of which inorganic (losses on NPE sales)</t>
    </r>
    <r>
      <rPr>
        <vertAlign val="superscript"/>
        <sz val="12"/>
        <color rgb="FF002F30"/>
        <rFont val="Piraeus Open Sans"/>
      </rPr>
      <t>4</t>
    </r>
  </si>
  <si>
    <r>
      <t xml:space="preserve">       of which one off items</t>
    </r>
    <r>
      <rPr>
        <vertAlign val="superscript"/>
        <sz val="12"/>
        <color rgb="FF002F30"/>
        <rFont val="Piraeus Open Sans"/>
      </rPr>
      <t>5</t>
    </r>
  </si>
  <si>
    <t>4. Q3.23 onwards inorganic impairments for loans include only losses on NPE sales transactions</t>
  </si>
  <si>
    <t>6. FY.2024 profit before tax normalized is adjusted for fees related with funds transfers and payments of c. €30mn, to be forgone 2025 onwards, as part of Government's induced measures. No adjustment has been made in the respective quarterly figures</t>
  </si>
  <si>
    <r>
      <t>Profit before tax</t>
    </r>
    <r>
      <rPr>
        <b/>
        <sz val="12"/>
        <color rgb="FF3885FF"/>
        <rFont val="Piraeus Open Sans"/>
      </rPr>
      <t xml:space="preserve"> </t>
    </r>
    <r>
      <rPr>
        <b/>
        <sz val="12"/>
        <color rgb="FF296ED4"/>
        <rFont val="Piraeus Open Sans"/>
      </rPr>
      <t>normalized</t>
    </r>
    <r>
      <rPr>
        <b/>
        <vertAlign val="superscript"/>
        <sz val="12"/>
        <color rgb="FF296ED4"/>
        <rFont val="Piraeus Open Sans"/>
      </rPr>
      <t>6</t>
    </r>
  </si>
  <si>
    <r>
      <t>Net profit</t>
    </r>
    <r>
      <rPr>
        <b/>
        <sz val="12"/>
        <color rgb="FF3885FF"/>
        <rFont val="Piraeus Open Sans"/>
      </rPr>
      <t xml:space="preserve"> </t>
    </r>
    <r>
      <rPr>
        <b/>
        <sz val="12"/>
        <color rgb="FF296ED4"/>
        <rFont val="Piraeus Open Sans"/>
      </rPr>
      <t>core</t>
    </r>
    <r>
      <rPr>
        <b/>
        <vertAlign val="superscript"/>
        <sz val="12"/>
        <color rgb="FF296ED4"/>
        <rFont val="Piraeus Open Sans"/>
      </rPr>
      <t>6</t>
    </r>
  </si>
  <si>
    <r>
      <t xml:space="preserve">Tax </t>
    </r>
    <r>
      <rPr>
        <b/>
        <sz val="12"/>
        <color rgb="FF296ED4"/>
        <rFont val="Piraeus Open Sans"/>
      </rPr>
      <t>normalized</t>
    </r>
    <r>
      <rPr>
        <b/>
        <vertAlign val="superscript"/>
        <sz val="12"/>
        <color rgb="FF296ED4"/>
        <rFont val="Piraeus Open Sans"/>
      </rPr>
      <t>7</t>
    </r>
  </si>
  <si>
    <t>7. Normalized profits are calculated under an assumption of normalized tax rate. A projected effective corporate tax rate of 26% has been used for 2022 and 2023, based on Piraeus business plan assumptions for 2023; as of Q1.24 normalized profits are calculated adjusting one-off items for the 29% tax rate; for FY.24 normalized tax is calculated on the one off items plus the €30mn adjustment on fees to be forgone 2025 onwards (quarterly normalized tax does not include the €30mn adjustment on fees)</t>
  </si>
  <si>
    <r>
      <t>Assets adjusted</t>
    </r>
    <r>
      <rPr>
        <b/>
        <vertAlign val="superscript"/>
        <sz val="12"/>
        <color rgb="FF002F30"/>
        <rFont val="Piraeus Open Sans"/>
      </rPr>
      <t>8</t>
    </r>
    <r>
      <rPr>
        <b/>
        <sz val="12"/>
        <color rgb="FF002F30"/>
        <rFont val="Piraeus Open Sans"/>
      </rPr>
      <t xml:space="preserve"> </t>
    </r>
    <r>
      <rPr>
        <sz val="12"/>
        <color rgb="FF002F30"/>
        <rFont val="Piraeus Open Sans"/>
      </rPr>
      <t>(excl. discontinued operations, seasonal OPEKEPE)</t>
    </r>
  </si>
  <si>
    <r>
      <t>Gross loans</t>
    </r>
    <r>
      <rPr>
        <b/>
        <vertAlign val="superscript"/>
        <sz val="12"/>
        <color rgb="FF002F30"/>
        <rFont val="Piraeus Open Sans"/>
      </rPr>
      <t>9</t>
    </r>
  </si>
  <si>
    <r>
      <t xml:space="preserve">      of which NPEs</t>
    </r>
    <r>
      <rPr>
        <vertAlign val="superscript"/>
        <sz val="12"/>
        <color rgb="FF002F30"/>
        <rFont val="Piraeus Open Sans"/>
      </rPr>
      <t>9</t>
    </r>
  </si>
  <si>
    <r>
      <t xml:space="preserve">Net loans </t>
    </r>
    <r>
      <rPr>
        <sz val="12"/>
        <color rgb="FF002F30"/>
        <rFont val="Piraeus Open Sans"/>
      </rPr>
      <t>(excl. seasonal OPEKEPE)</t>
    </r>
    <r>
      <rPr>
        <vertAlign val="superscript"/>
        <sz val="12"/>
        <color rgb="FF002F30"/>
        <rFont val="Piraeus Open Sans"/>
      </rPr>
      <t>9</t>
    </r>
  </si>
  <si>
    <t xml:space="preserve">8. Assets for 31 December 2022 have been reclassified for comparative purposes </t>
  </si>
  <si>
    <t>9. Gross loans, Net loans and NPEs include loans and advances to customers at fair valued through P&amp;L</t>
  </si>
  <si>
    <r>
      <t>CET 1 ratio FL</t>
    </r>
    <r>
      <rPr>
        <b/>
        <vertAlign val="superscript"/>
        <sz val="12"/>
        <color rgb="FF002F30"/>
        <rFont val="Piraeus Open Sans"/>
      </rPr>
      <t>10</t>
    </r>
  </si>
  <si>
    <r>
      <t>Total capital ratio FL</t>
    </r>
    <r>
      <rPr>
        <b/>
        <vertAlign val="superscript"/>
        <sz val="12"/>
        <color rgb="FF002F30"/>
        <rFont val="Piraeus Open Sans"/>
      </rPr>
      <t>10</t>
    </r>
  </si>
  <si>
    <t>3. Other operating result includes dividend income; In Q1.24 € -43 million refer to the expenses related to the public offering of 27% of the Company’s shares held by the HFSF</t>
  </si>
  <si>
    <r>
      <t xml:space="preserve">Tax normalization adjustment </t>
    </r>
    <r>
      <rPr>
        <vertAlign val="superscript"/>
        <sz val="12"/>
        <color rgb="FF002F30"/>
        <rFont val="Piraeus Open Sans"/>
      </rPr>
      <t>(9)</t>
    </r>
  </si>
  <si>
    <r>
      <t>Operating costs one offs</t>
    </r>
    <r>
      <rPr>
        <vertAlign val="superscript"/>
        <sz val="12"/>
        <color rgb="FF002F30"/>
        <rFont val="Piraeus Open Sans"/>
      </rPr>
      <t>(8)</t>
    </r>
  </si>
  <si>
    <r>
      <t>Inorganic impairments (losses on NPE sales)</t>
    </r>
    <r>
      <rPr>
        <vertAlign val="superscript"/>
        <sz val="12"/>
        <color rgb="FF002F30"/>
        <rFont val="Piraeus Open Sans"/>
      </rPr>
      <t>(7)</t>
    </r>
  </si>
  <si>
    <r>
      <t>Normalized Operating Profit</t>
    </r>
    <r>
      <rPr>
        <b/>
        <vertAlign val="superscript"/>
        <sz val="12"/>
        <color rgb="FF002F30"/>
        <rFont val="Piraeus Open Sans"/>
      </rPr>
      <t>(6)</t>
    </r>
  </si>
  <si>
    <r>
      <t>Normalized operating profit</t>
    </r>
    <r>
      <rPr>
        <b/>
        <vertAlign val="superscript"/>
        <sz val="12"/>
        <color rgb="FF002F30"/>
        <rFont val="Piraeus Open Sans"/>
      </rPr>
      <t>(6)</t>
    </r>
  </si>
  <si>
    <r>
      <t xml:space="preserve">Other operating result normalized </t>
    </r>
    <r>
      <rPr>
        <vertAlign val="superscript"/>
        <sz val="12"/>
        <color rgb="FF002F30"/>
        <rFont val="Piraeus Open Sans"/>
      </rPr>
      <t>(5)</t>
    </r>
  </si>
  <si>
    <r>
      <t xml:space="preserve">Net trading result normalized </t>
    </r>
    <r>
      <rPr>
        <vertAlign val="superscript"/>
        <sz val="12"/>
        <color rgb="FF002F30"/>
        <rFont val="Piraeus Open Sans"/>
      </rPr>
      <t>(4)</t>
    </r>
  </si>
  <si>
    <r>
      <t>Core operating income</t>
    </r>
    <r>
      <rPr>
        <vertAlign val="superscript"/>
        <sz val="12"/>
        <color rgb="FF002F30"/>
        <rFont val="Piraeus Open Sans"/>
      </rPr>
      <t>(3)</t>
    </r>
  </si>
  <si>
    <t>(3) FY.2024 profit before tax normalized is adjusted for fees related with funds transfers and payments of c. €30mn, to be forgone 2025 onwards, as part of Government's induced measures. No adjustment has been made in the respective quarterly figures</t>
  </si>
  <si>
    <t>(4) Q3.23 net trading result mainly derived from market making and other primary market activity</t>
  </si>
  <si>
    <t>(5) Other operating result includes dividend income</t>
  </si>
  <si>
    <t>(6) As of Q1.24 normalized profits incorporate one-off items post 29% tax rate</t>
  </si>
  <si>
    <t>(9) Normalized profits are calculated under an assumption of normalized tax rate. A projected effective corporate tax rate of 26% has been used for 2022 and 2023, based on Piraeus business plan assumptions for 2023. As of Q1.2024 normalized profits are calculated adjusting one-off items for the 29% tax rate</t>
  </si>
  <si>
    <t>o/w one-off</t>
  </si>
  <si>
    <t>2. As at 31 January 2025 S&amp;P Global upgraded Piraeus Bank rating to BB+ (Stable)</t>
  </si>
  <si>
    <r>
      <t>S&amp;P Global</t>
    </r>
    <r>
      <rPr>
        <vertAlign val="superscript"/>
        <sz val="12"/>
        <color rgb="FF002F30"/>
        <rFont val="Piraeus Open Sans"/>
      </rPr>
      <t>2</t>
    </r>
  </si>
  <si>
    <t>(1) Q1, Q2, Q3.22 net fee  &amp; rental income and general expenses have been restated to reflect the reclassification of fees paid to card services provider, which were previously included within general expenses to net fee income as an expense</t>
  </si>
  <si>
    <r>
      <t>Fee, trading and other operating result one offs</t>
    </r>
    <r>
      <rPr>
        <vertAlign val="superscript"/>
        <sz val="12"/>
        <color rgb="FF002F30"/>
        <rFont val="Piraeus Open Sans"/>
      </rPr>
      <t>(10)</t>
    </r>
  </si>
  <si>
    <t>(10) For Q2.24 , €12mn one-off fees relate with a strategic partnership in the cards space</t>
  </si>
  <si>
    <t>(8) Q3.23 one-offs comprise €15mn reversal of talent retention accruals due to share buyback and €1mn VES costs booked in staff costs and €15.5mn extraordinary costs to mitigate impact from wildfires and extreme weather phenomena booked in G&amp;A costs;
 Q4.23 one-offs comprise €56mn VES costs, €4mn share buyback accruals expensed for talent retention and €4mn subsidy for low paid employees booked in staff costs. FY.24 one-offs refer to VES costs</t>
  </si>
  <si>
    <t>(13) For 31.12.2024 figure includes NPE, NPA portfolios and corporate NPE tickets similarly categorized</t>
  </si>
  <si>
    <r>
      <t xml:space="preserve">of which one-off fees </t>
    </r>
    <r>
      <rPr>
        <i/>
        <vertAlign val="superscript"/>
        <sz val="12"/>
        <color rgb="FF002F30"/>
        <rFont val="Piraeus Open Sans"/>
      </rPr>
      <t>(3)</t>
    </r>
  </si>
  <si>
    <t>(3)  Acquiring fees for 2022 have been classified as one-off  for comparability purposes; for Q2.24 , €12mn one-off fees relate with a strategic partnership in the cards space</t>
  </si>
  <si>
    <t xml:space="preserve">of which other one-off </t>
  </si>
  <si>
    <t>(5) Q3.23 impairments on other assets include small impact from Sunshine closing; Q4.24 impairments include NPA clean up costs and a charitbale contribution for schools renovation/construction</t>
  </si>
  <si>
    <t>(6) Normalized profits are calculated under an assumption of normalized tax rate. A projected effective corporate tax rate of 26% has been used for 2022 and 2023, based on Piraeus business plan assumptions for 2023. As of Q1.24 normalized profits are calculated adjusting one-off items for the 29% tax rate</t>
  </si>
  <si>
    <t>* Corporate lending excludes seasonal OPEKEPE loan of €1,517mn for Dec.22, €951mn for Dec.23 and €919mn for Dec.24</t>
  </si>
  <si>
    <t>(1) Pro-forma ratios adjusted for the RWA relief of the sale of NPE loan portfolios and any other regulatory capital adjustments illustrated in quarterly reporting. For Mar.22 capital ratio is illustrated pro forma for the Sunshine leasing NPE portfolio RWA relief, transaction for which loss has been booked in 2021, and for the RWA relief resulting from the synthetic securitization of a shipping portfolio, transaction which is expected to close in the forthcoming period, subject to regulatory approvals. For Jun.22 capital ratio is illustrated pro forma for the expected impact of the Iolcus and Natech transaction developments concluded post 30 June 2022, the RWA relief of the Sunrise 3 and Solar NPE securitization portfolios, classified as held for sale as at 30 June 2022, for which 100% sale scenarios are booked, the RWA relief expected from the mortgage and blended portfolio signed synthetic securitizations, concluded in the following period, as well as other financial developments post 30 Jun.22. For June and September 2023 pro-forma for the RWA relief from the Sunrise 3, Solar, NPE securitizations and the RWA of the Delta and Wheel NPE portfolios, classified as HFS as at 30 June 2023; for December 2023 pro-forma for the RWA relief from the Solar NPE securitization and the RWA of the Delta, Wheel NPE portfolios, classified as HFS as at 30 June 2023 and the RWA of the Monza NPE portfolio, classified as HFS as at 31 December 2023 as well as the capital accretion from the new issuance of Tier 2 in January 2024; for March 2024 pro forma for the RWA relief from the Solar NPE securitizations and the RWA of the Delta, Wheel, Monza NPE portfolios, classified as HFS as at 31 March 2024; MREL at 31 Mar.24 proforma for the RWA relief from the NPE securitizations and sales to be completed in the forthcoming period and the new €500mn Senior Preferred bond issued in Apr.24; for June 2024 pro forma for the RWA relief mainly from the Solar NPE securitization and the RWA Monza NPE portfolio, classified as HFS as at 30 June  2024, and the new Tier 2 issued in Sep.24, and taking into account the revised credit quality step (CQS) mapping of the ICAP-CRIF external credit assessment institution (‘ECAI’), as per the recently published EU Commission Implementing Regulation (EU) 2024/1872 of 1 July 2024; MREL at 30 Jun.24 also proforma for the new €650mn Green Senior Preferred bond issued in Jul.24; for September 2024 pro forma for the RWA relief mainly from the Solar NPE securitization, classified as HFS as at 30 September  2024; for December 2024 pro forma for the RWA relief from the Solar and Imola NPE portfolios as well as real estate assets, classified as HFS as at 31 December 2024</t>
  </si>
  <si>
    <t>10. Capital ratios for June and September 2023 are pro-forma for the RWA relief from the Sunrise 3, Solar NPE securitizations and the RWA of the Delta and Wheel NPE portfolios, classified as HFS as at 30 September 2023; capital ratios for December 2023 are pro forma for RWA relief mainly from the Solar NPE securitizations and the RWA of the Delta, Monza NPE portfolios, classified as HFS as at 31 December 2023, as well as the capital accretion from the new issuance of Tier 2 in January 2024; capital ratios for March 2024 are pro forma for RWA relief mainly from the Solar NPE securitizations and the RWA of the Delta, Monza NPE portfolios, classified as HFS as at 31 March 2024; capital ratios for June 2024 are pro forma for the RWA relief mainly from the Solar NPE securitization and the Monza NPE portfolio, classified as HFS as at 30 June  2024 and taking into account the revised credit quality step (CQS) mapping of the ICAP-CRIF external credit assessment institution (‘ECAI’), as per the recently published EU Commission Implementing Regulation (EU) 2024/1872 of 1 July 2024; capital ratios for September 2024 are pro forma for the RWA relief mainly from the Solar NPE securitization, classified as HFS as at 30 September  2024;  capital ratios for December 2024 are pro forma for the RWA relief mainly from the NPE portfolios and real estate assets, classified as HFS as at 31 December 2024</t>
  </si>
  <si>
    <t>5. For Q4.24 one offs comprise repossesed clean-up costs and an extraordinary provision for the Bank’s contribution to the government program for schools renovation/construction.  For an analysis of all PnL one-off items refer to spreadsheet "EPS calculations"</t>
  </si>
  <si>
    <t xml:space="preserve">(7) Q3.23 onwards inorganic impairments for loans include only losses on NPE sales transactions; Q4.23 impairments relate with Monza NPE loan portfolio; Q4.24 impairments relate with NPE and repossesed HFS portfolios as well as a charitable contribution for schools renovation/construction </t>
  </si>
  <si>
    <t>Forgone income as of 2025 from government measures on fees</t>
  </si>
  <si>
    <r>
      <t xml:space="preserve">13. Assets from discontinued operations &amp; held for sale </t>
    </r>
    <r>
      <rPr>
        <vertAlign val="superscript"/>
        <sz val="12"/>
        <color rgb="FF002F30"/>
        <rFont val="Piraeus Open Sans"/>
      </rPr>
      <t>(1,2,3,4,5,6,7,8,9,11,12,13)</t>
    </r>
  </si>
  <si>
    <t>Ermis I</t>
  </si>
  <si>
    <t>Ermis II</t>
  </si>
  <si>
    <t>Ermis III</t>
  </si>
  <si>
    <t>Investors</t>
  </si>
  <si>
    <t>Portfolio perimeter 
as at Dec.24</t>
  </si>
  <si>
    <t>RWA release 
as at Dec.24</t>
  </si>
  <si>
    <t>Effective date</t>
  </si>
  <si>
    <t>Type of loans</t>
  </si>
  <si>
    <t>CRC</t>
  </si>
  <si>
    <t>EIF / EIB</t>
  </si>
  <si>
    <t>amounts in €mn</t>
  </si>
  <si>
    <t>DK &amp; 400 Capital</t>
  </si>
  <si>
    <t>Ermis VII</t>
  </si>
  <si>
    <t>Ermis VI</t>
  </si>
  <si>
    <t>EBRD, CRC &amp; VELD</t>
  </si>
  <si>
    <t>EBRD &amp; CQS</t>
  </si>
  <si>
    <t>Portfolio perimeter 
at inception</t>
  </si>
  <si>
    <t>RWA release 
at inception</t>
  </si>
  <si>
    <t>Corporate / SME / SB</t>
  </si>
  <si>
    <t>Ermis IV (Triton)</t>
  </si>
  <si>
    <t>Shipping</t>
  </si>
  <si>
    <t>Ermis V (M)</t>
  </si>
  <si>
    <t>SYNTHETIC SECURITIZATIONS OF PERFORMING LOANS</t>
  </si>
  <si>
    <t>Synthetic securitizations of performing loans</t>
  </si>
  <si>
    <t>Charitbale contribution for schools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</si>
</sst>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0.0000"/>
    <numFmt numFmtId="202" formatCode="_-* #,##0.0000_-;\-* #,##0.0000_-;_-* &quot;-&quot;??_-;_-@_-"/>
    <numFmt numFmtId="203" formatCode="#,##0_ ;\-#,##0\ "/>
    <numFmt numFmtId="204" formatCode="[$-F800]dddd\,\ mmmm\ dd\,\ yyyy"/>
    <numFmt numFmtId="205" formatCode="[$-409]d\-mmm\-yy;@"/>
  </numFmts>
  <fonts count="171"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4"/>
      <color indexed="18"/>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ont>
    <font>
      <sz val="10"/>
      <color rgb="FF002F30"/>
      <name val="Piraeus Open Sans"/>
    </font>
    <font>
      <sz val="12"/>
      <color rgb="FF002F30"/>
      <name val="Piraeus Open Sans"/>
    </font>
    <font>
      <sz val="12"/>
      <name val="Piraeus Open Sans"/>
    </font>
    <font>
      <u/>
      <sz val="12"/>
      <color rgb="FF002F30"/>
      <name val="Piraeus Open Sans"/>
    </font>
    <font>
      <sz val="10"/>
      <color indexed="23"/>
      <name val="Piraeus Open Sans"/>
    </font>
    <font>
      <u/>
      <sz val="12"/>
      <color indexed="18"/>
      <name val="Piraeus Open Sans"/>
    </font>
    <font>
      <sz val="10"/>
      <name val="Piraeus Open Sans"/>
    </font>
    <font>
      <sz val="12"/>
      <color indexed="18"/>
      <name val="Piraeus Open Sans"/>
    </font>
    <font>
      <b/>
      <sz val="20"/>
      <color indexed="18"/>
      <name val="Piraeus Open Sans"/>
    </font>
    <font>
      <sz val="8"/>
      <name val="Piraeus Open Sans"/>
    </font>
    <font>
      <b/>
      <sz val="12"/>
      <color rgb="FF0070C0"/>
      <name val="Piraeus Open Sans"/>
    </font>
    <font>
      <b/>
      <sz val="12"/>
      <color rgb="FF002F30"/>
      <name val="Piraeus Open Sans"/>
    </font>
    <font>
      <b/>
      <sz val="12"/>
      <color indexed="18"/>
      <name val="Piraeus Open Sans"/>
    </font>
    <font>
      <vertAlign val="superscript"/>
      <sz val="12"/>
      <color rgb="FF002F30"/>
      <name val="Piraeus Open Sans"/>
    </font>
    <font>
      <sz val="10"/>
      <color rgb="FF000080"/>
      <name val="Piraeus Open Sans"/>
    </font>
    <font>
      <b/>
      <sz val="20"/>
      <color rgb="FF002F30"/>
      <name val="Piraeus Open Sans"/>
    </font>
    <font>
      <b/>
      <sz val="10"/>
      <color rgb="FF000080"/>
      <name val="Piraeus Open Sans"/>
    </font>
    <font>
      <sz val="9"/>
      <color theme="3"/>
      <name val="Piraeus Open Sans"/>
    </font>
    <font>
      <sz val="8"/>
      <color theme="0" tint="-0.34998626667073579"/>
      <name val="Piraeus Open Sans"/>
    </font>
    <font>
      <b/>
      <u/>
      <sz val="12"/>
      <color rgb="FF002F30"/>
      <name val="Piraeus Open Sans"/>
    </font>
    <font>
      <i/>
      <sz val="12"/>
      <color rgb="FF002F30"/>
      <name val="Piraeus Open Sans"/>
    </font>
    <font>
      <b/>
      <sz val="12"/>
      <color rgb="FFA8A30A"/>
      <name val="Piraeus Open Sans"/>
    </font>
    <font>
      <b/>
      <sz val="12"/>
      <color rgb="FFF55240"/>
      <name val="Piraeus Open Sans"/>
    </font>
    <font>
      <b/>
      <sz val="12"/>
      <color rgb="FF3885FF"/>
      <name val="Piraeus Open Sans"/>
    </font>
    <font>
      <b/>
      <sz val="12"/>
      <color rgb="FF296ED4"/>
      <name val="Piraeus Open Sans"/>
    </font>
    <font>
      <b/>
      <vertAlign val="superscript"/>
      <sz val="12"/>
      <color rgb="FF002F30"/>
      <name val="Piraeus Open Sans"/>
    </font>
    <font>
      <b/>
      <sz val="20"/>
      <color rgb="FFC9C2AE"/>
      <name val="Piraeus Open Sans"/>
    </font>
    <font>
      <b/>
      <vertAlign val="superscript"/>
      <sz val="12"/>
      <color rgb="FF296ED4"/>
      <name val="Piraeus Open Sans"/>
    </font>
    <font>
      <b/>
      <sz val="14"/>
      <color rgb="FF002F30"/>
      <name val="Piraeus Open Sans"/>
    </font>
    <font>
      <b/>
      <sz val="12"/>
      <color rgb="FFFFF5BF"/>
      <name val="Piraeus Open Sans"/>
    </font>
    <font>
      <b/>
      <sz val="13"/>
      <color rgb="FF002F30"/>
      <name val="Piraeus Open Sans"/>
    </font>
    <font>
      <i/>
      <sz val="12"/>
      <color theme="0" tint="-0.499984740745262"/>
      <name val="Piraeus Open Sans"/>
    </font>
    <font>
      <b/>
      <sz val="12"/>
      <color theme="0" tint="-0.499984740745262"/>
      <name val="Piraeus Open Sans"/>
    </font>
    <font>
      <sz val="10"/>
      <color rgb="FFC9C2AE"/>
      <name val="Piraeus Open Sans"/>
    </font>
    <font>
      <b/>
      <i/>
      <sz val="12"/>
      <color rgb="FF002F30"/>
      <name val="Piraeus Open Sans"/>
    </font>
    <font>
      <i/>
      <vertAlign val="superscript"/>
      <sz val="12"/>
      <color rgb="FF002F30"/>
      <name val="Piraeus Open Sans"/>
    </font>
    <font>
      <sz val="12"/>
      <color theme="0" tint="-0.499984740745262"/>
      <name val="Piraeus Open Sans"/>
    </font>
    <font>
      <vertAlign val="superscript"/>
      <sz val="12"/>
      <color theme="0" tint="-0.499984740745262"/>
      <name val="Piraeus Open Sans"/>
    </font>
    <font>
      <b/>
      <i/>
      <sz val="14"/>
      <color rgb="FF002F30"/>
      <name val="Piraeus Open Sans"/>
    </font>
    <font>
      <b/>
      <vertAlign val="superscript"/>
      <sz val="14"/>
      <color rgb="FF002F30"/>
      <name val="Piraeus Open Sans"/>
    </font>
    <font>
      <sz val="8"/>
      <color rgb="FF002F30"/>
      <name val="Piraeus Open Sans"/>
    </font>
    <font>
      <sz val="10"/>
      <color indexed="18"/>
      <name val="Piraeus Open Sans"/>
    </font>
    <font>
      <sz val="9"/>
      <color rgb="FF000080"/>
      <name val="Piraeus Open Sans"/>
    </font>
    <font>
      <sz val="9"/>
      <color rgb="FF002F30"/>
      <name val="Piraeus Open Sans"/>
    </font>
    <font>
      <sz val="8"/>
      <color rgb="FF002F30"/>
      <name val="Calibri"/>
      <family val="2"/>
      <charset val="161"/>
      <scheme val="minor"/>
    </font>
    <font>
      <sz val="11"/>
      <color rgb="FF002F30"/>
      <name val="Piraeus Open Sans"/>
    </font>
    <font>
      <sz val="11"/>
      <name val="Piraeus Open Sans"/>
    </font>
    <font>
      <u/>
      <sz val="11"/>
      <color indexed="18"/>
      <name val="Piraeus Open Sans"/>
    </font>
    <font>
      <b/>
      <sz val="11"/>
      <color indexed="18"/>
      <name val="Piraeus Open Sans"/>
    </font>
    <font>
      <b/>
      <sz val="11"/>
      <color rgb="FF002F30"/>
      <name val="Piraeus Open Sans"/>
    </font>
    <font>
      <sz val="11"/>
      <color rgb="FF002F30"/>
      <name val="Calibri"/>
      <family val="2"/>
      <charset val="161"/>
      <scheme val="minor"/>
    </font>
    <font>
      <b/>
      <sz val="12"/>
      <color rgb="FFFF0000"/>
      <name val="Piraeus Open Sans"/>
    </font>
    <font>
      <sz val="14"/>
      <color rgb="FF002F30"/>
      <name val="Piraeus Open Sans"/>
    </font>
    <font>
      <b/>
      <u/>
      <vertAlign val="superscript"/>
      <sz val="12"/>
      <color rgb="FF002F30"/>
      <name val="Piraeus Open Sans"/>
    </font>
    <font>
      <sz val="10"/>
      <color rgb="FFFF0000"/>
      <name val="Piraeus Open Sans"/>
    </font>
    <font>
      <i/>
      <sz val="12"/>
      <name val="Piraeus Open Sans"/>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s>
  <borders count="1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right/>
      <top style="hair">
        <color indexed="64"/>
      </top>
      <bottom style="hair">
        <color indexed="64"/>
      </bottom>
      <diagonal/>
    </border>
    <border>
      <left/>
      <right/>
      <top style="thin">
        <color theme="0" tint="-0.14996795556505021"/>
      </top>
      <bottom style="thin">
        <color theme="0" tint="-0.14993743705557422"/>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right style="thin">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style="thin">
        <color rgb="FF002F30"/>
      </right>
      <top style="medium">
        <color rgb="FF007174"/>
      </top>
      <bottom/>
      <diagonal/>
    </border>
    <border>
      <left style="dashed">
        <color rgb="FF002F30"/>
      </left>
      <right style="dashed">
        <color rgb="FF002F30"/>
      </right>
      <top style="thin">
        <color rgb="FF002F30"/>
      </top>
      <bottom style="thin">
        <color rgb="FF002F30"/>
      </bottom>
      <diagonal/>
    </border>
    <border>
      <left style="dashed">
        <color rgb="FF002F30"/>
      </left>
      <right style="dashed">
        <color rgb="FF002F30"/>
      </right>
      <top style="thin">
        <color rgb="FF002F30"/>
      </top>
      <bottom/>
      <diagonal/>
    </border>
    <border>
      <left style="dashed">
        <color rgb="FF002F30"/>
      </left>
      <right style="dashed">
        <color rgb="FF002F30"/>
      </right>
      <top/>
      <bottom/>
      <diagonal/>
    </border>
    <border>
      <left style="dashed">
        <color rgb="FF002F30"/>
      </left>
      <right style="dashed">
        <color rgb="FF002F30"/>
      </right>
      <top/>
      <bottom style="thin">
        <color rgb="FF002F30"/>
      </bottom>
      <diagonal/>
    </border>
    <border>
      <left style="dashed">
        <color rgb="FF002F30"/>
      </left>
      <right style="dashed">
        <color rgb="FF002F30"/>
      </right>
      <top style="medium">
        <color rgb="FF007174"/>
      </top>
      <bottom style="medium">
        <color rgb="FF007174"/>
      </bottom>
      <diagonal/>
    </border>
    <border>
      <left style="dashed">
        <color rgb="FF002F30"/>
      </left>
      <right style="dashed">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dashed">
        <color rgb="FF002F30"/>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right style="thin">
        <color indexed="64"/>
      </right>
      <top/>
      <bottom style="dashed">
        <color rgb="FF002F30"/>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right style="dashed">
        <color auto="1"/>
      </right>
      <top/>
      <bottom/>
      <diagonal/>
    </border>
    <border>
      <left style="dashed">
        <color rgb="FF002F30"/>
      </left>
      <right style="thin">
        <color rgb="FF002F30"/>
      </right>
      <top/>
      <bottom style="thin">
        <color rgb="FF002F30"/>
      </bottom>
      <diagonal/>
    </border>
    <border>
      <left style="dashed">
        <color rgb="FF002F30"/>
      </left>
      <right style="thin">
        <color rgb="FF002F30"/>
      </right>
      <top/>
      <bottom/>
      <diagonal/>
    </border>
    <border>
      <left/>
      <right style="thin">
        <color theme="1"/>
      </right>
      <top style="thin">
        <color theme="0" tint="-0.14996795556505021"/>
      </top>
      <bottom style="thin">
        <color theme="0" tint="-0.14996795556505021"/>
      </bottom>
      <diagonal/>
    </border>
    <border>
      <left style="thin">
        <color rgb="FF002F30"/>
      </left>
      <right/>
      <top style="thin">
        <color theme="0" tint="-0.24994659260841701"/>
      </top>
      <bottom style="thin">
        <color indexed="64"/>
      </bottom>
      <diagonal/>
    </border>
    <border>
      <left style="dashed">
        <color rgb="FF002F30"/>
      </left>
      <right style="thin">
        <color indexed="64"/>
      </right>
      <top style="dashed">
        <color rgb="FF002F30"/>
      </top>
      <bottom style="hair">
        <color rgb="FF002F30"/>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7" fillId="0" borderId="0" applyFont="0" applyFill="0" applyBorder="0" applyAlignment="0" applyProtection="0"/>
    <xf numFmtId="0" fontId="69" fillId="0" borderId="0"/>
    <xf numFmtId="0" fontId="72" fillId="2" borderId="0" applyNumberFormat="0" applyBorder="0" applyAlignment="0" applyProtection="0"/>
    <xf numFmtId="0" fontId="72" fillId="7" borderId="0" applyNumberFormat="0" applyBorder="0" applyAlignment="0" applyProtection="0"/>
    <xf numFmtId="0" fontId="72" fillId="24" borderId="0" applyNumberFormat="0" applyBorder="0" applyAlignment="0" applyProtection="0"/>
    <xf numFmtId="0" fontId="72" fillId="38"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23" borderId="0" applyNumberFormat="0" applyBorder="0" applyAlignment="0" applyProtection="0"/>
    <xf numFmtId="0" fontId="73" fillId="20"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4" borderId="0" applyNumberFormat="0" applyBorder="0" applyAlignment="0" applyProtection="0"/>
    <xf numFmtId="0" fontId="75" fillId="2" borderId="1" applyNumberFormat="0" applyAlignment="0" applyProtection="0"/>
    <xf numFmtId="0" fontId="76" fillId="21" borderId="2" applyNumberFormat="0" applyAlignment="0" applyProtection="0"/>
    <xf numFmtId="0" fontId="77" fillId="0" borderId="7" applyNumberFormat="0" applyFill="0" applyAlignment="0" applyProtection="0"/>
    <xf numFmtId="197" fontId="70" fillId="0" borderId="0" applyFont="0" applyFill="0" applyBorder="0" applyAlignment="0" applyProtection="0"/>
    <xf numFmtId="0" fontId="78"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1"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30" fillId="0" borderId="0"/>
    <xf numFmtId="0" fontId="30" fillId="0" borderId="0"/>
    <xf numFmtId="0" fontId="1" fillId="0" borderId="0"/>
    <xf numFmtId="0" fontId="30" fillId="0" borderId="0"/>
    <xf numFmtId="0" fontId="30" fillId="0" borderId="0"/>
    <xf numFmtId="0" fontId="79" fillId="0" borderId="0"/>
    <xf numFmtId="0" fontId="69" fillId="0" borderId="0"/>
    <xf numFmtId="0" fontId="1" fillId="0" borderId="0"/>
    <xf numFmtId="0" fontId="6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30" fillId="24" borderId="8"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3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0" fillId="2" borderId="10" applyNumberForma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16" applyNumberFormat="0" applyFill="0" applyAlignment="0" applyProtection="0"/>
    <xf numFmtId="0" fontId="85" fillId="0" borderId="17" applyNumberFormat="0" applyFill="0" applyAlignment="0" applyProtection="0"/>
    <xf numFmtId="0" fontId="86" fillId="0" borderId="18" applyNumberFormat="0" applyFill="0" applyAlignment="0" applyProtection="0"/>
    <xf numFmtId="0" fontId="86" fillId="0" borderId="0" applyNumberFormat="0" applyFill="0" applyBorder="0" applyAlignment="0" applyProtection="0"/>
    <xf numFmtId="0" fontId="70" fillId="0" borderId="0"/>
    <xf numFmtId="0" fontId="69" fillId="0" borderId="0"/>
    <xf numFmtId="0" fontId="87" fillId="0" borderId="0" applyNumberFormat="0" applyFill="0" applyBorder="0" applyAlignment="0" applyProtection="0">
      <alignment vertical="top"/>
      <protection locked="0"/>
    </xf>
    <xf numFmtId="0" fontId="88" fillId="42" borderId="0" applyNumberFormat="0" applyBorder="0" applyAlignment="0" applyProtection="0"/>
    <xf numFmtId="0" fontId="88" fillId="7" borderId="0" applyNumberFormat="0" applyBorder="0" applyAlignment="0" applyProtection="0"/>
    <xf numFmtId="0" fontId="88" fillId="24" borderId="0" applyNumberFormat="0" applyBorder="0" applyAlignment="0" applyProtection="0"/>
    <xf numFmtId="0" fontId="88" fillId="42"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20" borderId="0" applyNumberFormat="0" applyBorder="0" applyAlignment="0" applyProtection="0"/>
    <xf numFmtId="0" fontId="88" fillId="9"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3" borderId="0" applyNumberFormat="0" applyBorder="0" applyAlignment="0" applyProtection="0"/>
    <xf numFmtId="0" fontId="89" fillId="44" borderId="0" applyNumberFormat="0" applyBorder="0" applyAlignment="0" applyProtection="0"/>
    <xf numFmtId="0" fontId="89" fillId="23" borderId="0" applyNumberFormat="0" applyBorder="0" applyAlignment="0" applyProtection="0"/>
    <xf numFmtId="0" fontId="89" fillId="20" borderId="0" applyNumberFormat="0" applyBorder="0" applyAlignment="0" applyProtection="0"/>
    <xf numFmtId="0" fontId="89" fillId="43" borderId="0" applyNumberFormat="0" applyBorder="0" applyAlignment="0" applyProtection="0"/>
    <xf numFmtId="0" fontId="89" fillId="7" borderId="0" applyNumberFormat="0" applyBorder="0" applyAlignment="0" applyProtection="0"/>
    <xf numFmtId="0" fontId="90" fillId="4" borderId="0" applyNumberFormat="0" applyBorder="0" applyAlignment="0" applyProtection="0"/>
    <xf numFmtId="0" fontId="91" fillId="42" borderId="1" applyNumberFormat="0" applyAlignment="0" applyProtection="0"/>
    <xf numFmtId="0" fontId="92" fillId="38" borderId="19" applyNumberFormat="0" applyAlignment="0" applyProtection="0"/>
    <xf numFmtId="0" fontId="93" fillId="0" borderId="7" applyNumberFormat="0" applyFill="0" applyAlignment="0" applyProtection="0"/>
    <xf numFmtId="0" fontId="94" fillId="0" borderId="0" applyNumberFormat="0" applyFill="0" applyBorder="0" applyAlignment="0" applyProtection="0"/>
    <xf numFmtId="0" fontId="89" fillId="14" borderId="0" applyNumberFormat="0" applyBorder="0" applyAlignment="0" applyProtection="0"/>
    <xf numFmtId="0" fontId="89" fillId="44" borderId="0" applyNumberFormat="0" applyBorder="0" applyAlignment="0" applyProtection="0"/>
    <xf numFmtId="0" fontId="89" fillId="16" borderId="0" applyNumberFormat="0" applyBorder="0" applyAlignment="0" applyProtection="0"/>
    <xf numFmtId="0" fontId="89" fillId="41" borderId="0" applyNumberFormat="0" applyBorder="0" applyAlignment="0" applyProtection="0"/>
    <xf numFmtId="0" fontId="89" fillId="14" borderId="0" applyNumberFormat="0" applyBorder="0" applyAlignment="0" applyProtection="0"/>
    <xf numFmtId="0" fontId="89" fillId="44" borderId="0" applyNumberFormat="0" applyBorder="0" applyAlignment="0" applyProtection="0"/>
    <xf numFmtId="0" fontId="95" fillId="7" borderId="1" applyNumberFormat="0" applyAlignment="0" applyProtection="0"/>
    <xf numFmtId="0" fontId="96" fillId="3" borderId="0" applyNumberFormat="0" applyBorder="0" applyAlignment="0" applyProtection="0"/>
    <xf numFmtId="0" fontId="97" fillId="23" borderId="0" applyNumberFormat="0" applyBorder="0" applyAlignment="0" applyProtection="0"/>
    <xf numFmtId="0" fontId="30" fillId="24" borderId="8" applyNumberFormat="0" applyFont="0" applyAlignment="0" applyProtection="0"/>
    <xf numFmtId="0" fontId="98" fillId="42" borderId="20" applyNumberFormat="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16" applyNumberFormat="0" applyFill="0" applyAlignment="0" applyProtection="0"/>
    <xf numFmtId="0" fontId="102" fillId="0" borderId="21" applyNumberFormat="0" applyFill="0" applyAlignment="0" applyProtection="0"/>
    <xf numFmtId="0" fontId="94" fillId="0" borderId="22" applyNumberFormat="0" applyFill="0" applyAlignment="0" applyProtection="0"/>
    <xf numFmtId="0" fontId="103" fillId="0" borderId="0" applyNumberFormat="0" applyFill="0" applyBorder="0" applyAlignment="0" applyProtection="0"/>
    <xf numFmtId="0" fontId="104" fillId="0" borderId="23" applyNumberFormat="0" applyFill="0" applyAlignment="0" applyProtection="0"/>
    <xf numFmtId="0" fontId="69" fillId="0" borderId="0"/>
    <xf numFmtId="0" fontId="30" fillId="0" borderId="0"/>
    <xf numFmtId="0" fontId="1" fillId="0" borderId="0"/>
    <xf numFmtId="9" fontId="105"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69" fillId="0" borderId="0"/>
    <xf numFmtId="0" fontId="69" fillId="0" borderId="0"/>
    <xf numFmtId="9" fontId="69"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1" fillId="0" borderId="0"/>
    <xf numFmtId="0" fontId="75" fillId="2" borderId="24" applyNumberFormat="0" applyAlignment="0" applyProtection="0"/>
    <xf numFmtId="0" fontId="30" fillId="24" borderId="25" applyNumberFormat="0" applyFont="0" applyAlignment="0" applyProtection="0"/>
    <xf numFmtId="0" fontId="80" fillId="2" borderId="26" applyNumberFormat="0" applyAlignment="0" applyProtection="0"/>
    <xf numFmtId="0" fontId="91" fillId="42" borderId="24" applyNumberFormat="0" applyAlignment="0" applyProtection="0"/>
    <xf numFmtId="0" fontId="95" fillId="7" borderId="24" applyNumberFormat="0" applyAlignment="0" applyProtection="0"/>
    <xf numFmtId="0" fontId="30" fillId="24" borderId="25" applyNumberFormat="0" applyFont="0" applyAlignment="0" applyProtection="0"/>
    <xf numFmtId="0" fontId="98" fillId="42" borderId="27" applyNumberFormat="0" applyAlignment="0" applyProtection="0"/>
    <xf numFmtId="0" fontId="104" fillId="0" borderId="28" applyNumberFormat="0" applyFill="0" applyAlignment="0" applyProtection="0"/>
    <xf numFmtId="43" fontId="3" fillId="0" borderId="0" applyFont="0" applyFill="0" applyBorder="0" applyAlignment="0" applyProtection="0"/>
  </cellStyleXfs>
  <cellXfs count="957">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4"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5" fillId="0" borderId="0" xfId="186" applyFont="1"/>
    <xf numFmtId="0" fontId="51" fillId="0" borderId="0" xfId="184" applyFont="1" applyAlignment="1">
      <alignment vertical="center"/>
    </xf>
    <xf numFmtId="0" fontId="65" fillId="0" borderId="0" xfId="184" applyFont="1"/>
    <xf numFmtId="0" fontId="66" fillId="0" borderId="0" xfId="186" applyFont="1"/>
    <xf numFmtId="0" fontId="65" fillId="0" borderId="0" xfId="184" applyFont="1" applyAlignment="1">
      <alignment horizontal="left" vertical="center"/>
    </xf>
    <xf numFmtId="0" fontId="63"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3" fontId="46" fillId="34" borderId="0" xfId="0" applyNumberFormat="1" applyFont="1" applyFill="1" applyAlignment="1">
      <alignment vertical="center"/>
    </xf>
    <xf numFmtId="0" fontId="61"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8"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 fontId="46" fillId="34" borderId="0" xfId="0" applyNumberFormat="1" applyFont="1" applyFill="1" applyAlignment="1">
      <alignment vertic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9" fontId="46" fillId="0" borderId="0" xfId="0" applyNumberFormat="1" applyFont="1" applyAlignment="1">
      <alignment vertical="center"/>
    </xf>
    <xf numFmtId="171" fontId="46" fillId="0" borderId="0" xfId="0" applyNumberFormat="1" applyFont="1" applyAlignment="1">
      <alignment vertical="center"/>
    </xf>
    <xf numFmtId="0" fontId="60" fillId="0" borderId="0" xfId="0" applyFont="1" applyAlignment="1">
      <alignment vertical="center"/>
    </xf>
    <xf numFmtId="0" fontId="62" fillId="0" borderId="0" xfId="184" applyFont="1" applyAlignment="1">
      <alignment horizontal="left" vertical="center"/>
    </xf>
    <xf numFmtId="1" fontId="107" fillId="0" borderId="0" xfId="0" applyNumberFormat="1" applyFont="1" applyAlignment="1">
      <alignment vertical="center"/>
    </xf>
    <xf numFmtId="201" fontId="46"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7"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7" fillId="0" borderId="0" xfId="132" applyFont="1" applyProtection="1"/>
    <xf numFmtId="194" fontId="45" fillId="0" borderId="0" xfId="187" applyNumberFormat="1" applyFont="1" applyFill="1" applyBorder="1" applyAlignment="1"/>
    <xf numFmtId="202" fontId="45" fillId="0" borderId="0" xfId="187" applyNumberFormat="1" applyFont="1" applyFill="1" applyBorder="1" applyAlignment="1"/>
    <xf numFmtId="43" fontId="45" fillId="0" borderId="0" xfId="0" applyNumberFormat="1" applyFont="1"/>
    <xf numFmtId="171" fontId="46" fillId="34" borderId="0" xfId="0" applyNumberFormat="1" applyFont="1" applyFill="1" applyAlignment="1">
      <alignment vertical="center"/>
    </xf>
    <xf numFmtId="3" fontId="62" fillId="0" borderId="0" xfId="184" applyNumberFormat="1" applyFont="1" applyAlignment="1">
      <alignment horizontal="left" vertical="center"/>
    </xf>
    <xf numFmtId="3" fontId="54" fillId="0" borderId="0" xfId="0" applyNumberFormat="1" applyFont="1"/>
    <xf numFmtId="0" fontId="61" fillId="0" borderId="0" xfId="0" applyFont="1" applyAlignment="1">
      <alignment horizontal="left" vertical="top"/>
    </xf>
    <xf numFmtId="170" fontId="46" fillId="0" borderId="0" xfId="132" applyNumberFormat="1" applyFont="1" applyBorder="1" applyAlignment="1">
      <alignment vertical="center"/>
    </xf>
    <xf numFmtId="0" fontId="108" fillId="0" borderId="0" xfId="186" applyFont="1"/>
    <xf numFmtId="0" fontId="109" fillId="0" borderId="0" xfId="186" applyFont="1"/>
    <xf numFmtId="0" fontId="109" fillId="0" borderId="0" xfId="184" applyFont="1"/>
    <xf numFmtId="0" fontId="110" fillId="0" borderId="0" xfId="186" applyFont="1"/>
    <xf numFmtId="3" fontId="110" fillId="0" borderId="0" xfId="186" applyNumberFormat="1" applyFont="1"/>
    <xf numFmtId="0" fontId="109" fillId="0" borderId="0" xfId="184" applyFont="1" applyAlignment="1">
      <alignment horizontal="left" vertical="center"/>
    </xf>
    <xf numFmtId="9" fontId="109" fillId="0" borderId="0" xfId="132" applyFont="1" applyProtection="1"/>
    <xf numFmtId="9" fontId="111" fillId="0" borderId="0" xfId="132" applyFont="1" applyProtection="1"/>
    <xf numFmtId="3" fontId="63" fillId="0" borderId="0" xfId="0" applyNumberFormat="1" applyFont="1" applyAlignment="1">
      <alignment horizontal="center" vertical="center" wrapText="1"/>
    </xf>
    <xf numFmtId="0" fontId="55" fillId="34" borderId="0" xfId="0" applyFont="1" applyFill="1" applyAlignment="1">
      <alignment horizontal="left" vertical="center" wrapText="1"/>
    </xf>
    <xf numFmtId="1" fontId="47" fillId="0" borderId="0" xfId="0" applyNumberFormat="1" applyFont="1"/>
    <xf numFmtId="170" fontId="112"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5" fillId="0" borderId="0" xfId="68" applyFont="1"/>
    <xf numFmtId="0" fontId="116" fillId="0" borderId="0" xfId="68" applyFont="1"/>
    <xf numFmtId="0" fontId="117" fillId="0" borderId="0" xfId="68" applyFont="1"/>
    <xf numFmtId="0" fontId="118" fillId="0" borderId="0" xfId="39" applyFont="1" applyAlignment="1" applyProtection="1"/>
    <xf numFmtId="0" fontId="118" fillId="0" borderId="0" xfId="34" applyFont="1" applyAlignment="1" applyProtection="1"/>
    <xf numFmtId="0" fontId="118" fillId="0" borderId="0" xfId="34" applyFont="1" applyAlignment="1" applyProtection="1">
      <alignment horizontal="right"/>
    </xf>
    <xf numFmtId="0" fontId="118" fillId="0" borderId="0" xfId="39" applyFont="1" applyAlignment="1" applyProtection="1">
      <alignment horizontal="right"/>
    </xf>
    <xf numFmtId="0" fontId="119" fillId="0" borderId="0" xfId="68" applyFont="1" applyAlignment="1">
      <alignment horizontal="left" indent="2"/>
    </xf>
    <xf numFmtId="0" fontId="120" fillId="0" borderId="0" xfId="34" applyFont="1" applyAlignment="1" applyProtection="1">
      <alignment horizontal="right"/>
    </xf>
    <xf numFmtId="0" fontId="119" fillId="0" borderId="0" xfId="184" applyFont="1" applyAlignment="1">
      <alignment horizontal="left" indent="2"/>
    </xf>
    <xf numFmtId="0" fontId="120" fillId="0" borderId="0" xfId="34" applyFont="1" applyAlignment="1" applyProtection="1"/>
    <xf numFmtId="0" fontId="121" fillId="0" borderId="0" xfId="68" applyFont="1"/>
    <xf numFmtId="0" fontId="120" fillId="0" borderId="0" xfId="39" applyFont="1" applyAlignment="1" applyProtection="1"/>
    <xf numFmtId="0" fontId="122" fillId="0" borderId="0" xfId="0" applyFont="1" applyAlignment="1">
      <alignment vertical="center"/>
    </xf>
    <xf numFmtId="0" fontId="121" fillId="0" borderId="0" xfId="0" applyFont="1" applyAlignment="1">
      <alignment vertical="center"/>
    </xf>
    <xf numFmtId="0" fontId="118" fillId="0" borderId="0" xfId="39" applyFont="1" applyBorder="1" applyAlignment="1" applyProtection="1">
      <alignment horizontal="right" vertical="center"/>
    </xf>
    <xf numFmtId="0" fontId="120" fillId="0" borderId="0" xfId="39" applyFont="1" applyBorder="1" applyAlignment="1" applyProtection="1">
      <alignment horizontal="right" vertical="center"/>
    </xf>
    <xf numFmtId="0" fontId="115" fillId="0" borderId="0" xfId="0" applyFont="1" applyAlignment="1">
      <alignment vertical="center"/>
    </xf>
    <xf numFmtId="0" fontId="123" fillId="0" borderId="0" xfId="184" applyFont="1" applyAlignment="1">
      <alignment vertical="center"/>
    </xf>
    <xf numFmtId="0" fontId="124" fillId="0" borderId="0" xfId="184" applyFont="1" applyAlignment="1">
      <alignment vertical="center"/>
    </xf>
    <xf numFmtId="0" fontId="123" fillId="0" borderId="0" xfId="184" applyFont="1" applyAlignment="1">
      <alignment horizontal="center" vertical="center"/>
    </xf>
    <xf numFmtId="0" fontId="125" fillId="0" borderId="0" xfId="0" applyFont="1" applyAlignment="1">
      <alignment horizontal="center" vertical="center" wrapText="1"/>
    </xf>
    <xf numFmtId="0" fontId="127" fillId="0" borderId="0" xfId="0" applyFont="1" applyAlignment="1">
      <alignment vertical="center"/>
    </xf>
    <xf numFmtId="3" fontId="127" fillId="0" borderId="0" xfId="0" applyNumberFormat="1" applyFont="1" applyAlignment="1">
      <alignment vertical="center"/>
    </xf>
    <xf numFmtId="171" fontId="127" fillId="0" borderId="0" xfId="0" applyNumberFormat="1" applyFont="1" applyAlignment="1">
      <alignment vertical="center"/>
    </xf>
    <xf numFmtId="0" fontId="129" fillId="0" borderId="0" xfId="184" applyFont="1" applyAlignment="1">
      <alignment vertical="center"/>
    </xf>
    <xf numFmtId="0" fontId="121" fillId="0" borderId="0" xfId="184" applyFont="1" applyAlignment="1">
      <alignment horizontal="left" vertical="center"/>
    </xf>
    <xf numFmtId="3" fontId="121" fillId="0" borderId="0" xfId="184" applyNumberFormat="1" applyFont="1" applyAlignment="1">
      <alignment horizontal="left" vertical="center"/>
    </xf>
    <xf numFmtId="0" fontId="121" fillId="45" borderId="0" xfId="184" applyFont="1" applyFill="1" applyAlignment="1">
      <alignment horizontal="left" vertical="center"/>
    </xf>
    <xf numFmtId="1" fontId="121" fillId="0" borderId="0" xfId="184" applyNumberFormat="1" applyFont="1" applyAlignment="1">
      <alignment horizontal="left" vertical="center"/>
    </xf>
    <xf numFmtId="10" fontId="121" fillId="0" borderId="0" xfId="184" applyNumberFormat="1" applyFont="1" applyAlignment="1">
      <alignment horizontal="left" vertical="center"/>
    </xf>
    <xf numFmtId="169" fontId="127" fillId="0" borderId="0" xfId="132" applyNumberFormat="1" applyFont="1" applyFill="1" applyBorder="1" applyAlignment="1">
      <alignment horizontal="center" vertical="center"/>
    </xf>
    <xf numFmtId="0" fontId="121" fillId="34" borderId="0" xfId="0" applyFont="1" applyFill="1" applyAlignment="1">
      <alignment vertical="center"/>
    </xf>
    <xf numFmtId="0" fontId="129" fillId="34" borderId="0" xfId="0" applyFont="1" applyFill="1" applyAlignment="1">
      <alignment horizontal="left" vertical="center" wrapText="1"/>
    </xf>
    <xf numFmtId="0" fontId="123" fillId="0" borderId="0" xfId="68" applyFont="1" applyAlignment="1">
      <alignment vertical="center" textRotation="90"/>
    </xf>
    <xf numFmtId="0" fontId="121" fillId="46" borderId="0" xfId="68" applyFont="1" applyFill="1"/>
    <xf numFmtId="0" fontId="117" fillId="46" borderId="0" xfId="68" applyFont="1" applyFill="1"/>
    <xf numFmtId="0" fontId="130" fillId="0" borderId="0" xfId="68" applyFont="1" applyAlignment="1">
      <alignment vertical="center" textRotation="90"/>
    </xf>
    <xf numFmtId="0" fontId="126" fillId="0" borderId="0" xfId="68" applyFont="1" applyAlignment="1">
      <alignment vertical="center" textRotation="90"/>
    </xf>
    <xf numFmtId="0" fontId="123" fillId="46" borderId="0" xfId="68" applyFont="1" applyFill="1" applyAlignment="1">
      <alignment vertical="center" textRotation="90"/>
    </xf>
    <xf numFmtId="0" fontId="133" fillId="0" borderId="0" xfId="68" applyFont="1" applyAlignment="1">
      <alignment vertical="center"/>
    </xf>
    <xf numFmtId="0" fontId="135" fillId="0" borderId="0" xfId="0" applyFont="1" applyAlignment="1">
      <alignment vertical="center"/>
    </xf>
    <xf numFmtId="0" fontId="134" fillId="47" borderId="39" xfId="0" applyFont="1" applyFill="1" applyBorder="1" applyAlignment="1">
      <alignment horizontal="left" vertical="center"/>
    </xf>
    <xf numFmtId="0" fontId="126" fillId="47" borderId="40" xfId="0" applyFont="1" applyFill="1" applyBorder="1" applyAlignment="1">
      <alignment horizontal="center" vertical="center" wrapText="1"/>
    </xf>
    <xf numFmtId="0" fontId="116" fillId="0" borderId="41" xfId="0" applyFont="1" applyBorder="1" applyAlignment="1">
      <alignment horizontal="left" vertical="center" wrapText="1"/>
    </xf>
    <xf numFmtId="3" fontId="116" fillId="34" borderId="0" xfId="67" applyNumberFormat="1" applyFont="1" applyFill="1" applyAlignment="1">
      <alignment horizontal="center" vertical="center"/>
    </xf>
    <xf numFmtId="3" fontId="116" fillId="0" borderId="0" xfId="67" applyNumberFormat="1" applyFont="1" applyAlignment="1">
      <alignment horizontal="center" vertical="center"/>
    </xf>
    <xf numFmtId="0" fontId="126" fillId="0" borderId="41" xfId="0" applyFont="1" applyBorder="1" applyAlignment="1">
      <alignment horizontal="left" vertical="center" wrapText="1"/>
    </xf>
    <xf numFmtId="3" fontId="126" fillId="0" borderId="0" xfId="67" applyNumberFormat="1" applyFont="1" applyAlignment="1">
      <alignment horizontal="center" vertical="center"/>
    </xf>
    <xf numFmtId="3" fontId="126" fillId="34" borderId="0" xfId="67" applyNumberFormat="1" applyFont="1" applyFill="1" applyAlignment="1">
      <alignment horizontal="center" vertical="center"/>
    </xf>
    <xf numFmtId="0" fontId="126" fillId="0" borderId="42" xfId="0" applyFont="1" applyBorder="1" applyAlignment="1">
      <alignment horizontal="left" vertical="center" wrapText="1"/>
    </xf>
    <xf numFmtId="3" fontId="126" fillId="0" borderId="38" xfId="67" applyNumberFormat="1" applyFont="1" applyBorder="1" applyAlignment="1">
      <alignment horizontal="center" vertical="center"/>
    </xf>
    <xf numFmtId="3" fontId="126" fillId="34" borderId="38" xfId="67" applyNumberFormat="1" applyFont="1" applyFill="1" applyBorder="1" applyAlignment="1">
      <alignment horizontal="center" vertical="center"/>
    </xf>
    <xf numFmtId="169" fontId="126" fillId="0" borderId="0" xfId="132" applyNumberFormat="1" applyFont="1" applyFill="1" applyBorder="1" applyAlignment="1">
      <alignment horizontal="center" vertical="center"/>
    </xf>
    <xf numFmtId="169" fontId="126" fillId="34" borderId="0" xfId="132" applyNumberFormat="1" applyFont="1" applyFill="1" applyBorder="1" applyAlignment="1">
      <alignment horizontal="center" vertical="center"/>
    </xf>
    <xf numFmtId="10" fontId="126" fillId="0" borderId="0" xfId="187" applyNumberFormat="1" applyFont="1" applyFill="1" applyBorder="1" applyAlignment="1">
      <alignment horizontal="center" vertical="center"/>
    </xf>
    <xf numFmtId="10" fontId="126" fillId="34" borderId="0" xfId="187" applyNumberFormat="1" applyFont="1" applyFill="1" applyBorder="1" applyAlignment="1">
      <alignment horizontal="center" vertical="center"/>
    </xf>
    <xf numFmtId="9" fontId="126" fillId="0" borderId="0" xfId="132" applyFont="1" applyFill="1" applyBorder="1" applyAlignment="1">
      <alignment horizontal="center" vertical="center"/>
    </xf>
    <xf numFmtId="9" fontId="126" fillId="34" borderId="0" xfId="187" applyNumberFormat="1" applyFont="1" applyFill="1" applyBorder="1" applyAlignment="1">
      <alignment horizontal="center" vertical="center"/>
    </xf>
    <xf numFmtId="9" fontId="126" fillId="0" borderId="0" xfId="187" applyNumberFormat="1" applyFont="1" applyFill="1" applyBorder="1" applyAlignment="1">
      <alignment horizontal="center" vertical="center"/>
    </xf>
    <xf numFmtId="169" fontId="126" fillId="34" borderId="0" xfId="187" applyNumberFormat="1" applyFont="1" applyFill="1" applyBorder="1" applyAlignment="1">
      <alignment horizontal="center" vertical="center"/>
    </xf>
    <xf numFmtId="169" fontId="126" fillId="0" borderId="0" xfId="187" applyNumberFormat="1" applyFont="1" applyFill="1" applyBorder="1" applyAlignment="1">
      <alignment horizontal="center" vertical="center"/>
    </xf>
    <xf numFmtId="10" fontId="126" fillId="0" borderId="0" xfId="132" applyNumberFormat="1" applyFont="1" applyFill="1" applyBorder="1" applyAlignment="1">
      <alignment horizontal="center" vertical="center"/>
    </xf>
    <xf numFmtId="9" fontId="126" fillId="34" borderId="0" xfId="132" applyFont="1" applyFill="1" applyBorder="1" applyAlignment="1">
      <alignment horizontal="center" vertical="center"/>
    </xf>
    <xf numFmtId="10" fontId="126" fillId="34" borderId="0" xfId="132" applyNumberFormat="1" applyFont="1" applyFill="1" applyBorder="1" applyAlignment="1">
      <alignment horizontal="center" vertical="center"/>
    </xf>
    <xf numFmtId="0" fontId="115" fillId="34" borderId="0" xfId="0" applyFont="1" applyFill="1" applyAlignment="1">
      <alignment vertical="center"/>
    </xf>
    <xf numFmtId="0" fontId="115" fillId="34" borderId="0" xfId="0" applyFont="1" applyFill="1" applyAlignment="1">
      <alignment horizontal="left" vertical="center" wrapText="1"/>
    </xf>
    <xf numFmtId="2" fontId="126" fillId="0" borderId="0" xfId="0" applyNumberFormat="1" applyFont="1" applyAlignment="1">
      <alignment horizontal="center" vertical="center"/>
    </xf>
    <xf numFmtId="2" fontId="126" fillId="34" borderId="0" xfId="0" applyNumberFormat="1" applyFont="1" applyFill="1" applyAlignment="1">
      <alignment horizontal="center" vertical="center"/>
    </xf>
    <xf numFmtId="0" fontId="126" fillId="34" borderId="43" xfId="0" applyFont="1" applyFill="1" applyBorder="1" applyAlignment="1">
      <alignment horizontal="left" vertical="center" wrapText="1"/>
    </xf>
    <xf numFmtId="169" fontId="126" fillId="34" borderId="44" xfId="132" applyNumberFormat="1" applyFont="1" applyFill="1" applyBorder="1" applyAlignment="1">
      <alignment horizontal="center" vertical="center"/>
    </xf>
    <xf numFmtId="169" fontId="126" fillId="0" borderId="44" xfId="132" applyNumberFormat="1" applyFont="1" applyFill="1" applyBorder="1" applyAlignment="1">
      <alignment horizontal="center" vertical="center"/>
    </xf>
    <xf numFmtId="0" fontId="126" fillId="0" borderId="43" xfId="0" applyFont="1" applyBorder="1" applyAlignment="1">
      <alignment horizontal="left" vertical="center" wrapText="1"/>
    </xf>
    <xf numFmtId="3" fontId="126" fillId="0" borderId="44" xfId="67" applyNumberFormat="1" applyFont="1" applyBorder="1" applyAlignment="1">
      <alignment horizontal="center" vertical="center"/>
    </xf>
    <xf numFmtId="3" fontId="126" fillId="34" borderId="44" xfId="67" applyNumberFormat="1" applyFont="1" applyFill="1" applyBorder="1" applyAlignment="1">
      <alignment horizontal="center" vertical="center"/>
    </xf>
    <xf numFmtId="0" fontId="126" fillId="0" borderId="39" xfId="0" applyFont="1" applyBorder="1" applyAlignment="1">
      <alignment horizontal="left" vertical="center" wrapText="1"/>
    </xf>
    <xf numFmtId="3" fontId="126" fillId="0" borderId="40" xfId="67" applyNumberFormat="1" applyFont="1" applyBorder="1" applyAlignment="1">
      <alignment horizontal="center" vertical="center"/>
    </xf>
    <xf numFmtId="3" fontId="126" fillId="34" borderId="40" xfId="67" applyNumberFormat="1" applyFont="1" applyFill="1" applyBorder="1" applyAlignment="1">
      <alignment horizontal="center" vertical="center"/>
    </xf>
    <xf numFmtId="3" fontId="126" fillId="0" borderId="44" xfId="0" applyNumberFormat="1" applyFont="1" applyBorder="1" applyAlignment="1">
      <alignment horizontal="center" vertical="center"/>
    </xf>
    <xf numFmtId="3" fontId="126" fillId="34" borderId="44" xfId="0" applyNumberFormat="1" applyFont="1" applyFill="1" applyBorder="1" applyAlignment="1">
      <alignment horizontal="center" vertical="center"/>
    </xf>
    <xf numFmtId="173" fontId="126" fillId="47" borderId="40" xfId="0" applyNumberFormat="1" applyFont="1" applyFill="1" applyBorder="1" applyAlignment="1">
      <alignment horizontal="center" vertical="center" wrapText="1"/>
    </xf>
    <xf numFmtId="0" fontId="126" fillId="47" borderId="46" xfId="0" applyFont="1" applyFill="1" applyBorder="1" applyAlignment="1">
      <alignment horizontal="center" vertical="center" wrapText="1"/>
    </xf>
    <xf numFmtId="0" fontId="126" fillId="47" borderId="49" xfId="0" applyFont="1" applyFill="1" applyBorder="1" applyAlignment="1">
      <alignment horizontal="center" vertical="center" wrapText="1"/>
    </xf>
    <xf numFmtId="173" fontId="126" fillId="47" borderId="46" xfId="0" applyNumberFormat="1" applyFont="1" applyFill="1" applyBorder="1" applyAlignment="1">
      <alignment horizontal="center" vertical="center" wrapText="1"/>
    </xf>
    <xf numFmtId="173" fontId="126" fillId="47" borderId="49" xfId="0" applyNumberFormat="1" applyFont="1" applyFill="1" applyBorder="1" applyAlignment="1">
      <alignment horizontal="center" vertical="center" wrapText="1"/>
    </xf>
    <xf numFmtId="0" fontId="116" fillId="0" borderId="39" xfId="0" applyFont="1" applyBorder="1" applyAlignment="1">
      <alignment horizontal="left" vertical="center" wrapText="1"/>
    </xf>
    <xf numFmtId="3" fontId="116" fillId="34" borderId="40" xfId="67" applyNumberFormat="1" applyFont="1" applyFill="1" applyBorder="1" applyAlignment="1">
      <alignment horizontal="center" vertical="center"/>
    </xf>
    <xf numFmtId="3" fontId="116" fillId="0" borderId="40" xfId="67" applyNumberFormat="1" applyFont="1" applyBorder="1" applyAlignment="1">
      <alignment horizontal="center" vertical="center"/>
    </xf>
    <xf numFmtId="0" fontId="116" fillId="0" borderId="43" xfId="0" applyFont="1" applyBorder="1" applyAlignment="1">
      <alignment horizontal="left" vertical="center" wrapText="1"/>
    </xf>
    <xf numFmtId="3" fontId="116" fillId="34" borderId="44" xfId="67" applyNumberFormat="1" applyFont="1" applyFill="1" applyBorder="1" applyAlignment="1">
      <alignment horizontal="center" vertical="center"/>
    </xf>
    <xf numFmtId="3" fontId="116" fillId="0" borderId="44" xfId="67" applyNumberFormat="1" applyFont="1" applyBorder="1" applyAlignment="1">
      <alignment horizontal="center" vertical="center"/>
    </xf>
    <xf numFmtId="0" fontId="126" fillId="0" borderId="53" xfId="0" applyFont="1" applyBorder="1" applyAlignment="1">
      <alignment horizontal="left" vertical="center" wrapText="1"/>
    </xf>
    <xf numFmtId="3" fontId="126" fillId="0" borderId="54" xfId="0" applyNumberFormat="1" applyFont="1" applyBorder="1" applyAlignment="1">
      <alignment horizontal="center" vertical="center"/>
    </xf>
    <xf numFmtId="3" fontId="126" fillId="34" borderId="54" xfId="0" applyNumberFormat="1" applyFont="1" applyFill="1" applyBorder="1" applyAlignment="1">
      <alignment horizontal="center" vertical="center"/>
    </xf>
    <xf numFmtId="0" fontId="116" fillId="0" borderId="53" xfId="0" applyFont="1" applyBorder="1" applyAlignment="1">
      <alignment horizontal="left" vertical="center" wrapText="1"/>
    </xf>
    <xf numFmtId="3" fontId="116" fillId="34" borderId="54" xfId="0" applyNumberFormat="1" applyFont="1" applyFill="1" applyBorder="1" applyAlignment="1">
      <alignment horizontal="center" vertical="center"/>
    </xf>
    <xf numFmtId="3" fontId="116" fillId="0" borderId="54" xfId="0" applyNumberFormat="1" applyFont="1" applyBorder="1" applyAlignment="1">
      <alignment horizontal="center" vertical="center"/>
    </xf>
    <xf numFmtId="0" fontId="116" fillId="34" borderId="53" xfId="0" applyFont="1" applyFill="1" applyBorder="1" applyAlignment="1">
      <alignment horizontal="left" vertical="center" wrapText="1"/>
    </xf>
    <xf numFmtId="0" fontId="126" fillId="34" borderId="53" xfId="0" applyFont="1" applyFill="1" applyBorder="1" applyAlignment="1">
      <alignment horizontal="left" vertical="center" wrapText="1"/>
    </xf>
    <xf numFmtId="0" fontId="126" fillId="0" borderId="57" xfId="0" applyFont="1" applyBorder="1" applyAlignment="1">
      <alignment horizontal="left" vertical="center" wrapText="1"/>
    </xf>
    <xf numFmtId="10" fontId="126" fillId="0" borderId="58" xfId="132" applyNumberFormat="1" applyFont="1" applyFill="1" applyBorder="1" applyAlignment="1">
      <alignment horizontal="center" vertical="center"/>
    </xf>
    <xf numFmtId="10" fontId="126" fillId="34" borderId="58" xfId="187" applyNumberFormat="1" applyFont="1" applyFill="1" applyBorder="1" applyAlignment="1">
      <alignment horizontal="center" vertical="center"/>
    </xf>
    <xf numFmtId="10" fontId="126" fillId="34" borderId="58" xfId="132" applyNumberFormat="1" applyFont="1" applyFill="1" applyBorder="1" applyAlignment="1">
      <alignment horizontal="center" vertical="center"/>
    </xf>
    <xf numFmtId="0" fontId="126" fillId="47" borderId="62" xfId="0" applyFont="1" applyFill="1" applyBorder="1" applyAlignment="1">
      <alignment horizontal="center" vertical="center" wrapText="1"/>
    </xf>
    <xf numFmtId="3" fontId="116" fillId="34" borderId="63" xfId="67" applyNumberFormat="1" applyFont="1" applyFill="1" applyBorder="1" applyAlignment="1">
      <alignment horizontal="center" vertical="center"/>
    </xf>
    <xf numFmtId="3" fontId="126" fillId="34" borderId="61" xfId="67" applyNumberFormat="1" applyFont="1" applyFill="1" applyBorder="1" applyAlignment="1">
      <alignment horizontal="center" vertical="center"/>
    </xf>
    <xf numFmtId="3" fontId="126" fillId="34" borderId="63" xfId="67" applyNumberFormat="1" applyFont="1" applyFill="1" applyBorder="1" applyAlignment="1">
      <alignment horizontal="center" vertical="center"/>
    </xf>
    <xf numFmtId="3" fontId="116" fillId="34" borderId="62" xfId="67" applyNumberFormat="1" applyFont="1" applyFill="1" applyBorder="1" applyAlignment="1">
      <alignment horizontal="center" vertical="center"/>
    </xf>
    <xf numFmtId="3" fontId="116" fillId="34" borderId="64" xfId="67" applyNumberFormat="1" applyFont="1" applyFill="1" applyBorder="1" applyAlignment="1">
      <alignment horizontal="center" vertical="center"/>
    </xf>
    <xf numFmtId="3" fontId="126" fillId="34" borderId="62" xfId="67" applyNumberFormat="1" applyFont="1" applyFill="1" applyBorder="1" applyAlignment="1">
      <alignment horizontal="center" vertical="center"/>
    </xf>
    <xf numFmtId="3" fontId="126" fillId="34" borderId="65" xfId="0" applyNumberFormat="1" applyFont="1" applyFill="1" applyBorder="1" applyAlignment="1">
      <alignment horizontal="center" vertical="center"/>
    </xf>
    <xf numFmtId="3" fontId="116" fillId="34" borderId="65" xfId="0" applyNumberFormat="1" applyFont="1" applyFill="1" applyBorder="1" applyAlignment="1">
      <alignment horizontal="center" vertical="center"/>
    </xf>
    <xf numFmtId="3" fontId="126" fillId="34" borderId="64" xfId="0" applyNumberFormat="1" applyFont="1" applyFill="1" applyBorder="1" applyAlignment="1">
      <alignment horizontal="center" vertical="center"/>
    </xf>
    <xf numFmtId="173" fontId="126" fillId="47" borderId="62" xfId="0" applyNumberFormat="1" applyFont="1" applyFill="1" applyBorder="1" applyAlignment="1">
      <alignment horizontal="center" vertical="center" wrapText="1"/>
    </xf>
    <xf numFmtId="3" fontId="126" fillId="34" borderId="64" xfId="67" applyNumberFormat="1" applyFont="1" applyFill="1" applyBorder="1" applyAlignment="1">
      <alignment horizontal="center" vertical="center"/>
    </xf>
    <xf numFmtId="2" fontId="126" fillId="34" borderId="63" xfId="0" applyNumberFormat="1" applyFont="1" applyFill="1" applyBorder="1" applyAlignment="1">
      <alignment horizontal="center" vertical="center"/>
    </xf>
    <xf numFmtId="169" fontId="126" fillId="34" borderId="63" xfId="132" applyNumberFormat="1" applyFont="1" applyFill="1" applyBorder="1" applyAlignment="1">
      <alignment horizontal="center" vertical="center"/>
    </xf>
    <xf numFmtId="10" fontId="126" fillId="34" borderId="63" xfId="187" applyNumberFormat="1" applyFont="1" applyFill="1" applyBorder="1" applyAlignment="1">
      <alignment horizontal="center" vertical="center"/>
    </xf>
    <xf numFmtId="9" fontId="126" fillId="34" borderId="63" xfId="187" applyNumberFormat="1" applyFont="1" applyFill="1" applyBorder="1" applyAlignment="1">
      <alignment horizontal="center" vertical="center"/>
    </xf>
    <xf numFmtId="169" fontId="126" fillId="34" borderId="63" xfId="187" applyNumberFormat="1" applyFont="1" applyFill="1" applyBorder="1" applyAlignment="1">
      <alignment horizontal="center" vertical="center"/>
    </xf>
    <xf numFmtId="9" fontId="126" fillId="34" borderId="63" xfId="132" applyFont="1" applyFill="1" applyBorder="1" applyAlignment="1">
      <alignment horizontal="center" vertical="center"/>
    </xf>
    <xf numFmtId="10" fontId="126" fillId="34" borderId="66" xfId="132" applyNumberFormat="1" applyFont="1" applyFill="1" applyBorder="1" applyAlignment="1">
      <alignment horizontal="center" vertical="center"/>
    </xf>
    <xf numFmtId="10" fontId="126" fillId="34" borderId="63" xfId="132" applyNumberFormat="1" applyFont="1" applyFill="1" applyBorder="1" applyAlignment="1">
      <alignment horizontal="center" vertical="center"/>
    </xf>
    <xf numFmtId="169" fontId="126" fillId="34" borderId="64"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6" fillId="48" borderId="0" xfId="67" applyNumberFormat="1" applyFont="1" applyFill="1" applyAlignment="1">
      <alignment horizontal="center" vertical="center"/>
    </xf>
    <xf numFmtId="3" fontId="126" fillId="48" borderId="38" xfId="67" applyNumberFormat="1" applyFont="1" applyFill="1" applyBorder="1" applyAlignment="1">
      <alignment horizontal="center" vertical="center"/>
    </xf>
    <xf numFmtId="3" fontId="126" fillId="48" borderId="0" xfId="67" applyNumberFormat="1" applyFont="1" applyFill="1" applyAlignment="1">
      <alignment horizontal="center" vertical="center"/>
    </xf>
    <xf numFmtId="3" fontId="116" fillId="48" borderId="40" xfId="67" applyNumberFormat="1" applyFont="1" applyFill="1" applyBorder="1" applyAlignment="1">
      <alignment horizontal="center" vertical="center"/>
    </xf>
    <xf numFmtId="3" fontId="116" fillId="48" borderId="44" xfId="67" applyNumberFormat="1" applyFont="1" applyFill="1" applyBorder="1" applyAlignment="1">
      <alignment horizontal="center" vertical="center"/>
    </xf>
    <xf numFmtId="3" fontId="126" fillId="48" borderId="40" xfId="67" applyNumberFormat="1" applyFont="1" applyFill="1" applyBorder="1" applyAlignment="1">
      <alignment horizontal="center" vertical="center"/>
    </xf>
    <xf numFmtId="3" fontId="126" fillId="48" borderId="54" xfId="0" applyNumberFormat="1" applyFont="1" applyFill="1" applyBorder="1" applyAlignment="1">
      <alignment horizontal="center" vertical="center"/>
    </xf>
    <xf numFmtId="3" fontId="116" fillId="48" borderId="54" xfId="0" applyNumberFormat="1" applyFont="1" applyFill="1" applyBorder="1" applyAlignment="1">
      <alignment horizontal="center" vertical="center"/>
    </xf>
    <xf numFmtId="3" fontId="126" fillId="48" borderId="44" xfId="0" applyNumberFormat="1" applyFont="1" applyFill="1" applyBorder="1" applyAlignment="1">
      <alignment horizontal="center" vertical="center"/>
    </xf>
    <xf numFmtId="3" fontId="116" fillId="48" borderId="47" xfId="67" applyNumberFormat="1" applyFont="1" applyFill="1" applyBorder="1" applyAlignment="1">
      <alignment horizontal="center" vertical="center"/>
    </xf>
    <xf numFmtId="3" fontId="126" fillId="48" borderId="48" xfId="67" applyNumberFormat="1" applyFont="1" applyFill="1" applyBorder="1" applyAlignment="1">
      <alignment horizontal="center" vertical="center"/>
    </xf>
    <xf numFmtId="3" fontId="126" fillId="48" borderId="47" xfId="67" applyNumberFormat="1" applyFont="1" applyFill="1" applyBorder="1" applyAlignment="1">
      <alignment horizontal="center" vertical="center"/>
    </xf>
    <xf numFmtId="3" fontId="116" fillId="48" borderId="46" xfId="67" applyNumberFormat="1" applyFont="1" applyFill="1" applyBorder="1" applyAlignment="1">
      <alignment horizontal="center" vertical="center"/>
    </xf>
    <xf numFmtId="3" fontId="116" fillId="48" borderId="51" xfId="67" applyNumberFormat="1" applyFont="1" applyFill="1" applyBorder="1" applyAlignment="1">
      <alignment horizontal="center" vertical="center"/>
    </xf>
    <xf numFmtId="3" fontId="126" fillId="48" borderId="46" xfId="67" applyNumberFormat="1" applyFont="1" applyFill="1" applyBorder="1" applyAlignment="1">
      <alignment horizontal="center" vertical="center"/>
    </xf>
    <xf numFmtId="3" fontId="126" fillId="48" borderId="56" xfId="0" applyNumberFormat="1" applyFont="1" applyFill="1" applyBorder="1" applyAlignment="1">
      <alignment horizontal="center" vertical="center"/>
    </xf>
    <xf numFmtId="3" fontId="116" fillId="48" borderId="56" xfId="0" applyNumberFormat="1" applyFont="1" applyFill="1" applyBorder="1" applyAlignment="1">
      <alignment horizontal="center" vertical="center"/>
    </xf>
    <xf numFmtId="3" fontId="126" fillId="48" borderId="51" xfId="0" applyNumberFormat="1" applyFont="1" applyFill="1" applyBorder="1" applyAlignment="1">
      <alignment horizontal="center" vertical="center"/>
    </xf>
    <xf numFmtId="3" fontId="126" fillId="48" borderId="44" xfId="67" applyNumberFormat="1" applyFont="1" applyFill="1" applyBorder="1" applyAlignment="1">
      <alignment horizontal="center" vertical="center"/>
    </xf>
    <xf numFmtId="3" fontId="126" fillId="48" borderId="51" xfId="67" applyNumberFormat="1" applyFont="1" applyFill="1" applyBorder="1" applyAlignment="1">
      <alignment horizontal="center" vertical="center"/>
    </xf>
    <xf numFmtId="2" fontId="126" fillId="48" borderId="0" xfId="0" applyNumberFormat="1" applyFont="1" applyFill="1" applyAlignment="1">
      <alignment horizontal="center" vertical="center"/>
    </xf>
    <xf numFmtId="169" fontId="126" fillId="48" borderId="0" xfId="132" applyNumberFormat="1" applyFont="1" applyFill="1" applyBorder="1" applyAlignment="1">
      <alignment horizontal="center" vertical="center"/>
    </xf>
    <xf numFmtId="10" fontId="126" fillId="48" borderId="0" xfId="187" applyNumberFormat="1" applyFont="1" applyFill="1" applyBorder="1" applyAlignment="1">
      <alignment horizontal="center" vertical="center"/>
    </xf>
    <xf numFmtId="9" fontId="126" fillId="48" borderId="0" xfId="187" applyNumberFormat="1" applyFont="1" applyFill="1" applyBorder="1" applyAlignment="1">
      <alignment horizontal="center" vertical="center"/>
    </xf>
    <xf numFmtId="9" fontId="126" fillId="48" borderId="0" xfId="132" applyFont="1" applyFill="1" applyBorder="1" applyAlignment="1">
      <alignment horizontal="center" vertical="center"/>
    </xf>
    <xf numFmtId="10" fontId="126" fillId="48" borderId="58" xfId="132" applyNumberFormat="1" applyFont="1" applyFill="1" applyBorder="1" applyAlignment="1">
      <alignment horizontal="center" vertical="center"/>
    </xf>
    <xf numFmtId="10" fontId="126" fillId="48" borderId="0" xfId="132" applyNumberFormat="1" applyFont="1" applyFill="1" applyBorder="1" applyAlignment="1">
      <alignment horizontal="center" vertical="center"/>
    </xf>
    <xf numFmtId="169" fontId="126" fillId="48" borderId="44" xfId="132" applyNumberFormat="1" applyFont="1" applyFill="1" applyBorder="1" applyAlignment="1">
      <alignment horizontal="center" vertical="center"/>
    </xf>
    <xf numFmtId="2" fontId="126" fillId="48" borderId="47" xfId="0" applyNumberFormat="1" applyFont="1" applyFill="1" applyBorder="1" applyAlignment="1">
      <alignment horizontal="center" vertical="center"/>
    </xf>
    <xf numFmtId="169" fontId="126" fillId="48" borderId="47" xfId="132" applyNumberFormat="1" applyFont="1" applyFill="1" applyBorder="1" applyAlignment="1">
      <alignment horizontal="center" vertical="center"/>
    </xf>
    <xf numFmtId="10" fontId="126" fillId="48" borderId="47" xfId="187" applyNumberFormat="1" applyFont="1" applyFill="1" applyBorder="1" applyAlignment="1">
      <alignment horizontal="center" vertical="center"/>
    </xf>
    <xf numFmtId="9" fontId="126" fillId="48" borderId="47" xfId="187" applyNumberFormat="1" applyFont="1" applyFill="1" applyBorder="1" applyAlignment="1">
      <alignment horizontal="center" vertical="center"/>
    </xf>
    <xf numFmtId="9" fontId="126" fillId="48" borderId="47" xfId="132" applyFont="1" applyFill="1" applyBorder="1" applyAlignment="1">
      <alignment horizontal="center" vertical="center"/>
    </xf>
    <xf numFmtId="10" fontId="126" fillId="48" borderId="60" xfId="132" applyNumberFormat="1" applyFont="1" applyFill="1" applyBorder="1" applyAlignment="1">
      <alignment horizontal="center" vertical="center"/>
    </xf>
    <xf numFmtId="10" fontId="126" fillId="48" borderId="47" xfId="132" applyNumberFormat="1" applyFont="1" applyFill="1" applyBorder="1" applyAlignment="1">
      <alignment horizontal="center" vertical="center"/>
    </xf>
    <xf numFmtId="169" fontId="126" fillId="48" borderId="51" xfId="132" applyNumberFormat="1" applyFont="1" applyFill="1" applyBorder="1" applyAlignment="1">
      <alignment horizontal="center" vertical="center"/>
    </xf>
    <xf numFmtId="3" fontId="116" fillId="34" borderId="31" xfId="67" applyNumberFormat="1" applyFont="1" applyFill="1" applyBorder="1" applyAlignment="1">
      <alignment horizontal="center" vertical="center"/>
    </xf>
    <xf numFmtId="3" fontId="116" fillId="34" borderId="30" xfId="67" applyNumberFormat="1" applyFont="1" applyFill="1" applyBorder="1" applyAlignment="1">
      <alignment horizontal="center" vertical="center"/>
    </xf>
    <xf numFmtId="3" fontId="135" fillId="34" borderId="31" xfId="67" applyNumberFormat="1" applyFont="1" applyFill="1" applyBorder="1" applyAlignment="1">
      <alignment horizontal="center" vertical="center"/>
    </xf>
    <xf numFmtId="3" fontId="116" fillId="0" borderId="30" xfId="67" applyNumberFormat="1" applyFont="1" applyBorder="1" applyAlignment="1">
      <alignment horizontal="center" vertical="center"/>
    </xf>
    <xf numFmtId="3" fontId="116" fillId="34" borderId="34" xfId="67" applyNumberFormat="1" applyFont="1" applyFill="1" applyBorder="1" applyAlignment="1">
      <alignment horizontal="center" vertical="center"/>
    </xf>
    <xf numFmtId="3" fontId="116" fillId="34" borderId="0" xfId="0" applyNumberFormat="1" applyFont="1" applyFill="1" applyAlignment="1">
      <alignment horizontal="center" vertical="center"/>
    </xf>
    <xf numFmtId="0" fontId="143" fillId="47" borderId="31" xfId="0" applyFont="1" applyFill="1" applyBorder="1" applyAlignment="1">
      <alignment horizontal="left" vertical="center" wrapText="1"/>
    </xf>
    <xf numFmtId="1" fontId="114" fillId="34" borderId="0" xfId="0" applyNumberFormat="1" applyFont="1" applyFill="1" applyAlignment="1">
      <alignment vertical="center"/>
    </xf>
    <xf numFmtId="3" fontId="116" fillId="51" borderId="31" xfId="67" applyNumberFormat="1" applyFont="1" applyFill="1" applyBorder="1" applyAlignment="1">
      <alignment horizontal="center" vertical="center"/>
    </xf>
    <xf numFmtId="3" fontId="116" fillId="51" borderId="0" xfId="67" applyNumberFormat="1" applyFont="1" applyFill="1" applyAlignment="1">
      <alignment horizontal="center" vertical="center"/>
    </xf>
    <xf numFmtId="3" fontId="116" fillId="51" borderId="0" xfId="0" applyNumberFormat="1" applyFont="1" applyFill="1" applyAlignment="1">
      <alignment horizontal="center"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6" fillId="0" borderId="69" xfId="0" applyFont="1" applyBorder="1" applyAlignment="1">
      <alignment horizontal="left" vertical="center" wrapText="1"/>
    </xf>
    <xf numFmtId="0" fontId="116" fillId="0" borderId="71" xfId="0" applyFont="1" applyBorder="1" applyAlignment="1">
      <alignment horizontal="left" vertical="center" wrapText="1"/>
    </xf>
    <xf numFmtId="0" fontId="126" fillId="48" borderId="41" xfId="0" applyFont="1" applyFill="1" applyBorder="1" applyAlignment="1">
      <alignment horizontal="left" vertical="center" wrapText="1"/>
    </xf>
    <xf numFmtId="3" fontId="116" fillId="0" borderId="0" xfId="0" applyNumberFormat="1" applyFont="1" applyAlignment="1">
      <alignment horizontal="center" vertical="center"/>
    </xf>
    <xf numFmtId="0" fontId="49" fillId="34" borderId="41" xfId="0" applyFont="1" applyFill="1" applyBorder="1" applyAlignment="1">
      <alignment horizontal="left" vertical="center" wrapText="1"/>
    </xf>
    <xf numFmtId="1" fontId="49" fillId="34" borderId="47" xfId="0" applyNumberFormat="1" applyFont="1" applyFill="1" applyBorder="1" applyAlignment="1">
      <alignment horizontal="center" vertical="center" wrapText="1"/>
    </xf>
    <xf numFmtId="0" fontId="106" fillId="34" borderId="41" xfId="0" applyFont="1" applyFill="1" applyBorder="1" applyAlignment="1">
      <alignment horizontal="left" vertical="center" wrapText="1"/>
    </xf>
    <xf numFmtId="1" fontId="106" fillId="34" borderId="0" xfId="0" applyNumberFormat="1" applyFont="1" applyFill="1" applyAlignment="1">
      <alignment horizontal="center" vertical="center" wrapText="1"/>
    </xf>
    <xf numFmtId="3" fontId="116" fillId="51" borderId="70" xfId="67" applyNumberFormat="1" applyFont="1" applyFill="1" applyBorder="1" applyAlignment="1">
      <alignment horizontal="center" vertical="center"/>
    </xf>
    <xf numFmtId="3" fontId="116" fillId="51" borderId="47" xfId="67" applyNumberFormat="1" applyFont="1" applyFill="1" applyBorder="1" applyAlignment="1">
      <alignment horizontal="center" vertical="center"/>
    </xf>
    <xf numFmtId="3" fontId="135" fillId="51" borderId="47" xfId="67" applyNumberFormat="1" applyFont="1" applyFill="1" applyBorder="1" applyAlignment="1">
      <alignment horizontal="center" vertical="center"/>
    </xf>
    <xf numFmtId="3" fontId="116" fillId="51" borderId="47" xfId="0" applyNumberFormat="1" applyFont="1" applyFill="1" applyBorder="1" applyAlignment="1">
      <alignment horizontal="center" vertical="center"/>
    </xf>
    <xf numFmtId="0" fontId="116" fillId="49" borderId="41" xfId="0" applyFont="1" applyFill="1" applyBorder="1" applyAlignment="1">
      <alignment horizontal="left" vertical="center" wrapText="1"/>
    </xf>
    <xf numFmtId="1" fontId="116" fillId="49" borderId="0" xfId="0" applyNumberFormat="1" applyFont="1" applyFill="1" applyAlignment="1">
      <alignment horizontal="center" vertical="center" wrapText="1"/>
    </xf>
    <xf numFmtId="3" fontId="116" fillId="34" borderId="30" xfId="0" applyNumberFormat="1" applyFont="1" applyFill="1" applyBorder="1" applyAlignment="1">
      <alignment horizontal="center" vertical="center"/>
    </xf>
    <xf numFmtId="3" fontId="116" fillId="0" borderId="30" xfId="0" applyNumberFormat="1" applyFont="1" applyBorder="1" applyAlignment="1">
      <alignment horizontal="center" vertical="center"/>
    </xf>
    <xf numFmtId="3" fontId="116" fillId="51" borderId="72" xfId="0" applyNumberFormat="1" applyFont="1" applyFill="1" applyBorder="1" applyAlignment="1">
      <alignment horizontal="center" vertical="center"/>
    </xf>
    <xf numFmtId="0" fontId="116" fillId="34" borderId="30" xfId="0" applyFont="1" applyFill="1" applyBorder="1" applyAlignment="1">
      <alignment horizontal="center" vertical="center"/>
    </xf>
    <xf numFmtId="0" fontId="116" fillId="51" borderId="72" xfId="0" applyFont="1" applyFill="1" applyBorder="1" applyAlignment="1">
      <alignment horizontal="center" vertical="center"/>
    </xf>
    <xf numFmtId="0" fontId="116" fillId="0" borderId="73" xfId="0" applyFont="1" applyBorder="1" applyAlignment="1">
      <alignment horizontal="left" vertical="center" wrapText="1"/>
    </xf>
    <xf numFmtId="3" fontId="116" fillId="0" borderId="32" xfId="0" applyNumberFormat="1" applyFont="1" applyBorder="1" applyAlignment="1">
      <alignment horizontal="center" vertical="center"/>
    </xf>
    <xf numFmtId="3" fontId="116" fillId="34" borderId="32" xfId="0" applyNumberFormat="1" applyFont="1" applyFill="1" applyBorder="1" applyAlignment="1">
      <alignment horizontal="center" vertical="center"/>
    </xf>
    <xf numFmtId="2" fontId="144" fillId="49" borderId="44" xfId="0" applyNumberFormat="1" applyFont="1" applyFill="1" applyBorder="1" applyAlignment="1">
      <alignment horizontal="center" vertical="center" wrapText="1"/>
    </xf>
    <xf numFmtId="2" fontId="144" fillId="49" borderId="51" xfId="0" applyNumberFormat="1" applyFont="1" applyFill="1" applyBorder="1" applyAlignment="1">
      <alignment horizontal="center" vertical="center" wrapText="1"/>
    </xf>
    <xf numFmtId="0" fontId="144" fillId="49" borderId="43" xfId="0" applyFont="1" applyFill="1" applyBorder="1" applyAlignment="1">
      <alignment horizontal="left" vertical="center" wrapText="1"/>
    </xf>
    <xf numFmtId="0" fontId="116" fillId="49" borderId="74" xfId="0" applyFont="1" applyFill="1" applyBorder="1" applyAlignment="1">
      <alignment horizontal="left" vertical="center" wrapText="1"/>
    </xf>
    <xf numFmtId="1" fontId="116" fillId="49" borderId="75" xfId="0" applyNumberFormat="1" applyFont="1" applyFill="1" applyBorder="1" applyAlignment="1">
      <alignment horizontal="center" vertical="center" wrapText="1"/>
    </xf>
    <xf numFmtId="1" fontId="116" fillId="49" borderId="76" xfId="0" applyNumberFormat="1" applyFont="1" applyFill="1" applyBorder="1" applyAlignment="1">
      <alignment horizontal="center" vertical="center" wrapText="1"/>
    </xf>
    <xf numFmtId="0" fontId="144" fillId="49" borderId="77" xfId="0" applyFont="1" applyFill="1" applyBorder="1" applyAlignment="1">
      <alignment horizontal="left" vertical="center" wrapText="1"/>
    </xf>
    <xf numFmtId="2" fontId="144" fillId="49" borderId="78" xfId="0" applyNumberFormat="1" applyFont="1" applyFill="1" applyBorder="1" applyAlignment="1">
      <alignment horizontal="center" vertical="center" wrapText="1"/>
    </xf>
    <xf numFmtId="1" fontId="106" fillId="34" borderId="47" xfId="0" applyNumberFormat="1" applyFont="1" applyFill="1" applyBorder="1" applyAlignment="1">
      <alignment horizontal="center" vertical="center" wrapText="1"/>
    </xf>
    <xf numFmtId="0" fontId="116" fillId="34" borderId="0" xfId="0" applyFont="1" applyFill="1" applyAlignment="1">
      <alignment vertical="center"/>
    </xf>
    <xf numFmtId="3" fontId="116" fillId="34" borderId="0" xfId="0" applyNumberFormat="1" applyFont="1" applyFill="1" applyAlignment="1">
      <alignment horizontal="center"/>
    </xf>
    <xf numFmtId="0" fontId="126" fillId="34" borderId="0" xfId="0" applyFont="1" applyFill="1" applyAlignment="1">
      <alignment vertical="center"/>
    </xf>
    <xf numFmtId="3" fontId="126" fillId="47" borderId="0" xfId="0" applyNumberFormat="1" applyFont="1" applyFill="1" applyAlignment="1">
      <alignment horizontal="center" vertical="center"/>
    </xf>
    <xf numFmtId="3" fontId="126" fillId="34" borderId="0" xfId="0" applyNumberFormat="1" applyFont="1" applyFill="1" applyAlignment="1">
      <alignment horizontal="center"/>
    </xf>
    <xf numFmtId="3" fontId="126" fillId="34" borderId="0" xfId="0" applyNumberFormat="1" applyFont="1" applyFill="1" applyAlignment="1">
      <alignment vertical="center"/>
    </xf>
    <xf numFmtId="0" fontId="116" fillId="0" borderId="0" xfId="0" applyFont="1" applyAlignment="1">
      <alignment vertical="center"/>
    </xf>
    <xf numFmtId="3" fontId="126" fillId="50" borderId="0" xfId="0" applyNumberFormat="1" applyFont="1" applyFill="1" applyAlignment="1">
      <alignment horizontal="center" vertical="center"/>
    </xf>
    <xf numFmtId="0" fontId="135" fillId="47" borderId="39" xfId="0" applyFont="1" applyFill="1" applyBorder="1" applyAlignment="1">
      <alignment vertical="center"/>
    </xf>
    <xf numFmtId="0" fontId="126" fillId="0" borderId="41" xfId="0" applyFont="1" applyBorder="1" applyAlignment="1">
      <alignment vertical="center"/>
    </xf>
    <xf numFmtId="3" fontId="116" fillId="0" borderId="0" xfId="0" applyNumberFormat="1" applyFont="1" applyAlignment="1">
      <alignment horizontal="center"/>
    </xf>
    <xf numFmtId="3" fontId="116" fillId="35" borderId="47" xfId="0" applyNumberFormat="1" applyFont="1" applyFill="1" applyBorder="1" applyAlignment="1">
      <alignment horizontal="center"/>
    </xf>
    <xf numFmtId="0" fontId="116" fillId="0" borderId="41" xfId="0" applyFont="1" applyBorder="1" applyAlignment="1">
      <alignment horizontal="left" vertical="center" indent="1"/>
    </xf>
    <xf numFmtId="0" fontId="116" fillId="0" borderId="41" xfId="0" applyFont="1" applyBorder="1" applyAlignment="1">
      <alignment horizontal="left" vertical="center" wrapText="1" indent="1"/>
    </xf>
    <xf numFmtId="0" fontId="126" fillId="47" borderId="41" xfId="0" applyFont="1" applyFill="1" applyBorder="1" applyAlignment="1">
      <alignment horizontal="left" vertical="center" wrapText="1" indent="1"/>
    </xf>
    <xf numFmtId="3" fontId="126" fillId="47" borderId="47" xfId="0" applyNumberFormat="1" applyFont="1" applyFill="1" applyBorder="1" applyAlignment="1">
      <alignment horizontal="center" vertical="center"/>
    </xf>
    <xf numFmtId="0" fontId="126" fillId="0" borderId="41" xfId="0" applyFont="1" applyBorder="1" applyAlignment="1">
      <alignment vertical="center" wrapText="1"/>
    </xf>
    <xf numFmtId="3" fontId="126" fillId="0" borderId="0" xfId="0" applyNumberFormat="1" applyFont="1" applyAlignment="1">
      <alignment horizontal="center"/>
    </xf>
    <xf numFmtId="3" fontId="126" fillId="35" borderId="47" xfId="0" applyNumberFormat="1" applyFont="1" applyFill="1" applyBorder="1" applyAlignment="1">
      <alignment horizontal="center"/>
    </xf>
    <xf numFmtId="0" fontId="116" fillId="0" borderId="41" xfId="0" applyFont="1" applyBorder="1" applyAlignment="1">
      <alignment horizontal="left" vertical="center" indent="4"/>
    </xf>
    <xf numFmtId="3" fontId="126" fillId="50" borderId="47" xfId="0" applyNumberFormat="1" applyFont="1" applyFill="1" applyBorder="1" applyAlignment="1">
      <alignment horizontal="center" vertical="center"/>
    </xf>
    <xf numFmtId="0" fontId="126" fillId="47" borderId="43" xfId="0" applyFont="1" applyFill="1" applyBorder="1" applyAlignment="1">
      <alignment horizontal="left" vertical="center" wrapText="1" indent="1"/>
    </xf>
    <xf numFmtId="3" fontId="126" fillId="47" borderId="44" xfId="0" applyNumberFormat="1" applyFont="1" applyFill="1" applyBorder="1" applyAlignment="1">
      <alignment horizontal="center" vertical="center"/>
    </xf>
    <xf numFmtId="3" fontId="126" fillId="47" borderId="51" xfId="0" applyNumberFormat="1" applyFont="1" applyFill="1" applyBorder="1" applyAlignment="1">
      <alignment horizontal="center" vertical="center"/>
    </xf>
    <xf numFmtId="3" fontId="126" fillId="47" borderId="50" xfId="0" applyNumberFormat="1" applyFont="1" applyFill="1" applyBorder="1" applyAlignment="1">
      <alignment horizontal="center" vertical="center"/>
    </xf>
    <xf numFmtId="3" fontId="126" fillId="50" borderId="50" xfId="0" applyNumberFormat="1" applyFont="1" applyFill="1" applyBorder="1" applyAlignment="1">
      <alignment horizontal="center" vertical="center"/>
    </xf>
    <xf numFmtId="3" fontId="126" fillId="47" borderId="52"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6" fillId="47" borderId="79" xfId="0" applyNumberFormat="1" applyFont="1" applyFill="1" applyBorder="1" applyAlignment="1">
      <alignment horizontal="center" vertical="center"/>
    </xf>
    <xf numFmtId="3" fontId="115" fillId="0" borderId="80" xfId="0" applyNumberFormat="1" applyFont="1" applyBorder="1" applyAlignment="1">
      <alignment horizontal="center" vertical="center" wrapText="1"/>
    </xf>
    <xf numFmtId="9" fontId="116" fillId="0" borderId="80" xfId="132" applyFont="1" applyFill="1" applyBorder="1" applyAlignment="1">
      <alignment horizontal="center" vertical="center"/>
    </xf>
    <xf numFmtId="9" fontId="116" fillId="50" borderId="80" xfId="132" applyFont="1" applyFill="1" applyBorder="1" applyAlignment="1">
      <alignment horizontal="center" vertical="center"/>
    </xf>
    <xf numFmtId="9" fontId="116" fillId="50" borderId="81" xfId="132" applyFont="1" applyFill="1" applyBorder="1" applyAlignment="1">
      <alignment horizontal="center" vertical="center"/>
    </xf>
    <xf numFmtId="0" fontId="122" fillId="34" borderId="0" xfId="0" applyFont="1" applyFill="1" applyAlignment="1">
      <alignment vertical="center"/>
    </xf>
    <xf numFmtId="0" fontId="126" fillId="0" borderId="0" xfId="0" applyFont="1" applyAlignment="1">
      <alignment horizontal="center" vertical="center" wrapText="1"/>
    </xf>
    <xf numFmtId="3" fontId="126" fillId="0" borderId="0" xfId="0" applyNumberFormat="1" applyFont="1" applyAlignment="1">
      <alignment horizontal="center" vertical="center"/>
    </xf>
    <xf numFmtId="3" fontId="126" fillId="34" borderId="0" xfId="0" applyNumberFormat="1" applyFont="1" applyFill="1" applyAlignment="1">
      <alignment horizontal="center" vertical="center"/>
    </xf>
    <xf numFmtId="9" fontId="126" fillId="34" borderId="0" xfId="0" applyNumberFormat="1" applyFont="1" applyFill="1" applyAlignment="1">
      <alignment horizontal="center" vertical="center"/>
    </xf>
    <xf numFmtId="9" fontId="116" fillId="34" borderId="0" xfId="0" applyNumberFormat="1" applyFont="1" applyFill="1" applyAlignment="1">
      <alignment horizontal="center" vertical="center"/>
    </xf>
    <xf numFmtId="0" fontId="126" fillId="0" borderId="0" xfId="0" applyFont="1" applyAlignment="1">
      <alignment horizontal="left" vertical="center"/>
    </xf>
    <xf numFmtId="9" fontId="145" fillId="34" borderId="0" xfId="0" applyNumberFormat="1" applyFont="1" applyFill="1" applyAlignment="1">
      <alignment horizontal="center" vertical="center"/>
    </xf>
    <xf numFmtId="9" fontId="145" fillId="0" borderId="0" xfId="0" applyNumberFormat="1" applyFont="1" applyAlignment="1">
      <alignment horizontal="center" vertical="center"/>
    </xf>
    <xf numFmtId="0" fontId="115" fillId="0" borderId="0" xfId="184" applyFont="1" applyAlignment="1">
      <alignment vertical="center"/>
    </xf>
    <xf numFmtId="0" fontId="115" fillId="0" borderId="0" xfId="184" applyFont="1" applyAlignment="1">
      <alignment horizontal="left" vertical="center"/>
    </xf>
    <xf numFmtId="0" fontId="134" fillId="50" borderId="39" xfId="0" applyFont="1" applyFill="1" applyBorder="1" applyAlignment="1">
      <alignment horizontal="left" vertical="center"/>
    </xf>
    <xf numFmtId="173" fontId="126" fillId="50" borderId="40" xfId="0" applyNumberFormat="1" applyFont="1" applyFill="1" applyBorder="1" applyAlignment="1">
      <alignment horizontal="center" vertical="center" wrapText="1"/>
    </xf>
    <xf numFmtId="173" fontId="126" fillId="50" borderId="46" xfId="0" applyNumberFormat="1" applyFont="1" applyFill="1" applyBorder="1" applyAlignment="1">
      <alignment horizontal="center" vertical="center" wrapText="1"/>
    </xf>
    <xf numFmtId="3" fontId="126" fillId="48" borderId="47" xfId="0" applyNumberFormat="1" applyFont="1" applyFill="1" applyBorder="1" applyAlignment="1">
      <alignment horizontal="center" vertical="center"/>
    </xf>
    <xf numFmtId="0" fontId="116" fillId="0" borderId="41" xfId="0" applyFont="1" applyBorder="1" applyAlignment="1">
      <alignment vertical="center"/>
    </xf>
    <xf numFmtId="3" fontId="116" fillId="48" borderId="47" xfId="0" applyNumberFormat="1" applyFont="1" applyFill="1" applyBorder="1" applyAlignment="1">
      <alignment horizontal="center" vertical="center"/>
    </xf>
    <xf numFmtId="0" fontId="126" fillId="37" borderId="43" xfId="0" applyFont="1" applyFill="1" applyBorder="1" applyAlignment="1">
      <alignment horizontal="left" vertical="center" wrapText="1"/>
    </xf>
    <xf numFmtId="0" fontId="116" fillId="0" borderId="41" xfId="0" applyFont="1" applyBorder="1" applyAlignment="1">
      <alignment horizontal="left" vertical="center"/>
    </xf>
    <xf numFmtId="0" fontId="126" fillId="0" borderId="41" xfId="0" applyFont="1" applyBorder="1" applyAlignment="1">
      <alignment horizontal="left" vertical="center"/>
    </xf>
    <xf numFmtId="0" fontId="134" fillId="0" borderId="41" xfId="0" applyFont="1" applyBorder="1" applyAlignment="1">
      <alignment horizontal="left" vertical="center"/>
    </xf>
    <xf numFmtId="9" fontId="116" fillId="0" borderId="0" xfId="0" applyNumberFormat="1" applyFont="1" applyAlignment="1">
      <alignment horizontal="center" vertical="center"/>
    </xf>
    <xf numFmtId="9" fontId="116" fillId="48" borderId="47" xfId="0" applyNumberFormat="1" applyFont="1" applyFill="1" applyBorder="1" applyAlignment="1">
      <alignment horizontal="center" vertical="center"/>
    </xf>
    <xf numFmtId="0" fontId="126" fillId="0" borderId="43" xfId="0" applyFont="1" applyBorder="1" applyAlignment="1">
      <alignment horizontal="left" vertical="center"/>
    </xf>
    <xf numFmtId="9" fontId="145" fillId="34" borderId="44" xfId="0" applyNumberFormat="1" applyFont="1" applyFill="1" applyBorder="1" applyAlignment="1">
      <alignment horizontal="center" vertical="center"/>
    </xf>
    <xf numFmtId="9" fontId="145" fillId="0" borderId="44" xfId="0" applyNumberFormat="1" applyFont="1" applyBorder="1" applyAlignment="1">
      <alignment horizontal="center" vertical="center"/>
    </xf>
    <xf numFmtId="9" fontId="145" fillId="48" borderId="51" xfId="0" applyNumberFormat="1" applyFont="1" applyFill="1" applyBorder="1" applyAlignment="1">
      <alignment horizontal="center" vertical="center"/>
    </xf>
    <xf numFmtId="9" fontId="126" fillId="0" borderId="0" xfId="0" applyNumberFormat="1" applyFont="1" applyAlignment="1">
      <alignment horizontal="center" vertical="center"/>
    </xf>
    <xf numFmtId="173" fontId="126" fillId="50" borderId="49" xfId="0" applyNumberFormat="1" applyFont="1" applyFill="1" applyBorder="1" applyAlignment="1">
      <alignment horizontal="center" vertical="center" wrapText="1"/>
    </xf>
    <xf numFmtId="3" fontId="116" fillId="34" borderId="50" xfId="0" applyNumberFormat="1" applyFont="1" applyFill="1" applyBorder="1" applyAlignment="1">
      <alignment horizontal="center" vertical="center"/>
    </xf>
    <xf numFmtId="0" fontId="146" fillId="0" borderId="71" xfId="0" applyFont="1" applyBorder="1" applyAlignment="1">
      <alignment horizontal="left" vertical="center" wrapText="1"/>
    </xf>
    <xf numFmtId="0" fontId="126" fillId="0" borderId="12" xfId="0" applyFont="1" applyBorder="1" applyAlignment="1">
      <alignment horizontal="left"/>
    </xf>
    <xf numFmtId="3" fontId="151" fillId="34" borderId="0" xfId="0" applyNumberFormat="1" applyFont="1" applyFill="1" applyAlignment="1">
      <alignment horizontal="center" vertical="center"/>
    </xf>
    <xf numFmtId="0" fontId="115" fillId="34" borderId="0" xfId="0" applyFont="1" applyFill="1" applyAlignment="1">
      <alignment horizontal="left" vertical="top" wrapText="1"/>
    </xf>
    <xf numFmtId="0" fontId="116" fillId="0" borderId="0" xfId="0" applyFont="1" applyAlignment="1">
      <alignment horizontal="left" vertical="center" wrapText="1"/>
    </xf>
    <xf numFmtId="0" fontId="115" fillId="34" borderId="0" xfId="0" applyFont="1" applyFill="1" applyAlignment="1">
      <alignment horizontal="left" vertical="top"/>
    </xf>
    <xf numFmtId="0" fontId="115" fillId="0" borderId="0" xfId="0" applyFont="1" applyAlignment="1">
      <alignment horizontal="left" vertical="top" wrapText="1"/>
    </xf>
    <xf numFmtId="0" fontId="115" fillId="0" borderId="0" xfId="0" applyFont="1" applyAlignment="1">
      <alignment horizontal="left" vertical="top"/>
    </xf>
    <xf numFmtId="0" fontId="126" fillId="0" borderId="85" xfId="0" applyFont="1" applyBorder="1" applyAlignment="1">
      <alignment horizontal="left"/>
    </xf>
    <xf numFmtId="0" fontId="126" fillId="0" borderId="86" xfId="0" applyFont="1" applyBorder="1" applyAlignment="1">
      <alignment horizontal="left"/>
    </xf>
    <xf numFmtId="0" fontId="151" fillId="34" borderId="41" xfId="0" applyFont="1" applyFill="1" applyBorder="1" applyAlignment="1">
      <alignment horizontal="left" vertical="center" wrapText="1" indent="3"/>
    </xf>
    <xf numFmtId="3" fontId="151" fillId="0" borderId="0" xfId="0" applyNumberFormat="1" applyFont="1" applyAlignment="1">
      <alignment horizontal="center" vertical="center"/>
    </xf>
    <xf numFmtId="0" fontId="116" fillId="34" borderId="41" xfId="0" applyFont="1" applyFill="1" applyBorder="1" applyAlignment="1">
      <alignment horizontal="left" vertical="center" wrapText="1"/>
    </xf>
    <xf numFmtId="0" fontId="116" fillId="0" borderId="47" xfId="0" applyFont="1" applyBorder="1" applyAlignment="1">
      <alignment vertical="center"/>
    </xf>
    <xf numFmtId="0" fontId="126" fillId="0" borderId="92" xfId="0" applyFont="1" applyBorder="1" applyAlignment="1">
      <alignment horizontal="left"/>
    </xf>
    <xf numFmtId="0" fontId="116" fillId="0" borderId="50" xfId="0" applyFont="1" applyBorder="1" applyAlignment="1">
      <alignment vertical="center"/>
    </xf>
    <xf numFmtId="0" fontId="126" fillId="0" borderId="103" xfId="0" applyFont="1" applyBorder="1" applyAlignment="1">
      <alignment horizontal="left"/>
    </xf>
    <xf numFmtId="0" fontId="126" fillId="0" borderId="104" xfId="0" applyFont="1" applyBorder="1" applyAlignment="1">
      <alignment horizontal="center" vertical="center"/>
    </xf>
    <xf numFmtId="0" fontId="126" fillId="0" borderId="105" xfId="0" applyFont="1" applyBorder="1" applyAlignment="1">
      <alignment horizontal="center" vertical="center"/>
    </xf>
    <xf numFmtId="0" fontId="126" fillId="0" borderId="106" xfId="0" applyFont="1" applyBorder="1" applyAlignment="1">
      <alignment horizontal="center" vertical="center"/>
    </xf>
    <xf numFmtId="0" fontId="126" fillId="0" borderId="104" xfId="0" applyFont="1" applyBorder="1" applyAlignment="1">
      <alignment horizontal="left"/>
    </xf>
    <xf numFmtId="0" fontId="126" fillId="0" borderId="105" xfId="0" applyFont="1" applyBorder="1" applyAlignment="1">
      <alignment horizontal="left"/>
    </xf>
    <xf numFmtId="0" fontId="126" fillId="0" borderId="106" xfId="0" applyFont="1" applyBorder="1" applyAlignment="1">
      <alignment horizontal="left"/>
    </xf>
    <xf numFmtId="0" fontId="135" fillId="50" borderId="39" xfId="0" applyFont="1" applyFill="1" applyBorder="1" applyAlignment="1">
      <alignment vertical="center"/>
    </xf>
    <xf numFmtId="0" fontId="126" fillId="50" borderId="40" xfId="0" applyFont="1" applyFill="1" applyBorder="1" applyAlignment="1">
      <alignment horizontal="center" vertical="center" wrapText="1"/>
    </xf>
    <xf numFmtId="0" fontId="126" fillId="50" borderId="49" xfId="0" applyFont="1" applyFill="1" applyBorder="1" applyAlignment="1">
      <alignment horizontal="center" vertical="center" wrapText="1"/>
    </xf>
    <xf numFmtId="0" fontId="126" fillId="50" borderId="46" xfId="0" applyFont="1" applyFill="1" applyBorder="1" applyAlignment="1">
      <alignment horizontal="center" vertical="center" wrapText="1"/>
    </xf>
    <xf numFmtId="0" fontId="143" fillId="50" borderId="98" xfId="0" applyFont="1" applyFill="1" applyBorder="1" applyAlignment="1">
      <alignment horizontal="left" vertical="center" wrapText="1"/>
    </xf>
    <xf numFmtId="3" fontId="126" fillId="50" borderId="68" xfId="0" applyNumberFormat="1" applyFont="1" applyFill="1" applyBorder="1" applyAlignment="1">
      <alignment horizontal="center" vertical="center" wrapText="1"/>
    </xf>
    <xf numFmtId="3" fontId="126" fillId="50" borderId="91" xfId="0" applyNumberFormat="1" applyFont="1" applyFill="1" applyBorder="1" applyAlignment="1">
      <alignment horizontal="center" vertical="center" wrapText="1"/>
    </xf>
    <xf numFmtId="3" fontId="126" fillId="50" borderId="84" xfId="0" applyNumberFormat="1" applyFont="1" applyFill="1" applyBorder="1" applyAlignment="1">
      <alignment horizontal="center" vertical="center" wrapText="1"/>
    </xf>
    <xf numFmtId="0" fontId="143" fillId="50" borderId="99" xfId="0" applyFont="1" applyFill="1" applyBorder="1" applyAlignment="1">
      <alignment horizontal="left" vertical="center" wrapText="1"/>
    </xf>
    <xf numFmtId="3" fontId="126" fillId="50" borderId="100" xfId="0" applyNumberFormat="1" applyFont="1" applyFill="1" applyBorder="1" applyAlignment="1">
      <alignment horizontal="center" vertical="center" wrapText="1"/>
    </xf>
    <xf numFmtId="3" fontId="126" fillId="50" borderId="101" xfId="0" applyNumberFormat="1" applyFont="1" applyFill="1" applyBorder="1" applyAlignment="1">
      <alignment horizontal="center" vertical="center" wrapText="1"/>
    </xf>
    <xf numFmtId="3" fontId="126" fillId="50" borderId="102" xfId="0" applyNumberFormat="1" applyFont="1" applyFill="1" applyBorder="1" applyAlignment="1">
      <alignment horizontal="center" vertical="center" wrapText="1"/>
    </xf>
    <xf numFmtId="0" fontId="143" fillId="50" borderId="42" xfId="0" applyFont="1" applyFill="1" applyBorder="1" applyAlignment="1">
      <alignment horizontal="left" vertical="center" wrapText="1"/>
    </xf>
    <xf numFmtId="4" fontId="126" fillId="50" borderId="38" xfId="0" applyNumberFormat="1" applyFont="1" applyFill="1" applyBorder="1" applyAlignment="1">
      <alignment horizontal="center" vertical="center" wrapText="1"/>
    </xf>
    <xf numFmtId="4" fontId="126" fillId="50" borderId="45" xfId="0" applyNumberFormat="1" applyFont="1" applyFill="1" applyBorder="1" applyAlignment="1">
      <alignment horizontal="center" vertical="center" wrapText="1"/>
    </xf>
    <xf numFmtId="4" fontId="126" fillId="50" borderId="48" xfId="0" applyNumberFormat="1" applyFont="1" applyFill="1" applyBorder="1" applyAlignment="1">
      <alignment horizontal="center" vertical="center" wrapText="1"/>
    </xf>
    <xf numFmtId="0" fontId="143" fillId="50" borderId="94" xfId="0" applyFont="1" applyFill="1" applyBorder="1" applyAlignment="1">
      <alignment horizontal="left" vertical="center" wrapText="1"/>
    </xf>
    <xf numFmtId="3" fontId="126" fillId="50" borderId="95" xfId="0" applyNumberFormat="1" applyFont="1" applyFill="1" applyBorder="1" applyAlignment="1">
      <alignment horizontal="center" vertical="center" wrapText="1"/>
    </xf>
    <xf numFmtId="3" fontId="126" fillId="50" borderId="96" xfId="0" applyNumberFormat="1" applyFont="1" applyFill="1" applyBorder="1" applyAlignment="1">
      <alignment horizontal="center" vertical="center" wrapText="1"/>
    </xf>
    <xf numFmtId="3" fontId="126" fillId="50" borderId="97" xfId="0" applyNumberFormat="1" applyFont="1" applyFill="1" applyBorder="1" applyAlignment="1">
      <alignment horizontal="center" vertical="center" wrapText="1"/>
    </xf>
    <xf numFmtId="0" fontId="153" fillId="50" borderId="85" xfId="0" applyFont="1" applyFill="1" applyBorder="1" applyAlignment="1">
      <alignment horizontal="left" vertical="center" wrapText="1" indent="2"/>
    </xf>
    <xf numFmtId="4" fontId="149" fillId="50" borderId="12" xfId="0" applyNumberFormat="1" applyFont="1" applyFill="1" applyBorder="1" applyAlignment="1">
      <alignment horizontal="center" vertical="center" wrapText="1"/>
    </xf>
    <xf numFmtId="4" fontId="149" fillId="50" borderId="92" xfId="0" applyNumberFormat="1" applyFont="1" applyFill="1" applyBorder="1" applyAlignment="1">
      <alignment horizontal="center" vertical="center" wrapText="1"/>
    </xf>
    <xf numFmtId="4" fontId="149" fillId="50" borderId="86" xfId="0" applyNumberFormat="1" applyFont="1" applyFill="1" applyBorder="1" applyAlignment="1">
      <alignment horizontal="center" vertical="center" wrapText="1"/>
    </xf>
    <xf numFmtId="0" fontId="143" fillId="50" borderId="82" xfId="0" applyFont="1" applyFill="1" applyBorder="1" applyAlignment="1">
      <alignment horizontal="left" vertical="center" wrapText="1"/>
    </xf>
    <xf numFmtId="3" fontId="126" fillId="50" borderId="67" xfId="0" applyNumberFormat="1" applyFont="1" applyFill="1" applyBorder="1" applyAlignment="1">
      <alignment horizontal="center" vertical="center" wrapText="1"/>
    </xf>
    <xf numFmtId="3" fontId="126" fillId="50" borderId="90" xfId="0" applyNumberFormat="1" applyFont="1" applyFill="1" applyBorder="1" applyAlignment="1">
      <alignment horizontal="center" vertical="center" wrapText="1"/>
    </xf>
    <xf numFmtId="3" fontId="126" fillId="50" borderId="83" xfId="0" applyNumberFormat="1" applyFont="1" applyFill="1" applyBorder="1" applyAlignment="1">
      <alignment horizontal="center" vertical="center" wrapText="1"/>
    </xf>
    <xf numFmtId="0" fontId="153" fillId="50" borderId="87" xfId="0" applyFont="1" applyFill="1" applyBorder="1" applyAlignment="1">
      <alignment horizontal="left" vertical="center" wrapText="1" indent="2"/>
    </xf>
    <xf numFmtId="4" fontId="149" fillId="50" borderId="88" xfId="0" applyNumberFormat="1" applyFont="1" applyFill="1" applyBorder="1" applyAlignment="1">
      <alignment horizontal="center" vertical="center" wrapText="1"/>
    </xf>
    <xf numFmtId="4" fontId="149" fillId="50" borderId="93" xfId="0" applyNumberFormat="1" applyFont="1" applyFill="1" applyBorder="1" applyAlignment="1">
      <alignment horizontal="center" vertical="center" wrapText="1"/>
    </xf>
    <xf numFmtId="4" fontId="149" fillId="50" borderId="89" xfId="0" applyNumberFormat="1" applyFont="1" applyFill="1" applyBorder="1" applyAlignment="1">
      <alignment horizontal="center" vertical="center" wrapText="1"/>
    </xf>
    <xf numFmtId="3" fontId="151" fillId="48" borderId="47" xfId="0" applyNumberFormat="1" applyFont="1" applyFill="1" applyBorder="1" applyAlignment="1">
      <alignment horizontal="center" vertical="center"/>
    </xf>
    <xf numFmtId="0" fontId="126" fillId="52" borderId="103" xfId="0" applyFont="1" applyFill="1" applyBorder="1" applyAlignment="1">
      <alignment horizontal="left" vertical="center" wrapText="1"/>
    </xf>
    <xf numFmtId="1" fontId="126" fillId="52" borderId="104" xfId="0" applyNumberFormat="1" applyFont="1" applyFill="1" applyBorder="1" applyAlignment="1">
      <alignment horizontal="center" vertical="center" wrapText="1"/>
    </xf>
    <xf numFmtId="1" fontId="126" fillId="52" borderId="105" xfId="0" applyNumberFormat="1" applyFont="1" applyFill="1" applyBorder="1" applyAlignment="1">
      <alignment horizontal="center" vertical="center" wrapText="1"/>
    </xf>
    <xf numFmtId="1" fontId="126" fillId="52" borderId="106" xfId="0" applyNumberFormat="1" applyFont="1" applyFill="1" applyBorder="1" applyAlignment="1">
      <alignment horizontal="center" vertical="center" wrapText="1"/>
    </xf>
    <xf numFmtId="0" fontId="149" fillId="52" borderId="41" xfId="0" applyFont="1" applyFill="1" applyBorder="1" applyAlignment="1">
      <alignment horizontal="left" vertical="center" wrapText="1" indent="1"/>
    </xf>
    <xf numFmtId="1" fontId="126" fillId="52" borderId="0" xfId="0" applyNumberFormat="1" applyFont="1" applyFill="1" applyAlignment="1">
      <alignment horizontal="center" vertical="center" wrapText="1"/>
    </xf>
    <xf numFmtId="1" fontId="126" fillId="52" borderId="50" xfId="0" applyNumberFormat="1" applyFont="1" applyFill="1" applyBorder="1" applyAlignment="1">
      <alignment horizontal="center" vertical="center" wrapText="1"/>
    </xf>
    <xf numFmtId="1" fontId="126" fillId="52" borderId="47" xfId="0" applyNumberFormat="1" applyFont="1" applyFill="1" applyBorder="1" applyAlignment="1">
      <alignment horizontal="center" vertical="center" wrapText="1"/>
    </xf>
    <xf numFmtId="3" fontId="126" fillId="52" borderId="104" xfId="0" applyNumberFormat="1" applyFont="1" applyFill="1" applyBorder="1" applyAlignment="1">
      <alignment horizontal="center" vertical="center" wrapText="1"/>
    </xf>
    <xf numFmtId="3" fontId="126" fillId="52" borderId="105" xfId="0" applyNumberFormat="1" applyFont="1" applyFill="1" applyBorder="1" applyAlignment="1">
      <alignment horizontal="center" vertical="center" wrapText="1"/>
    </xf>
    <xf numFmtId="3" fontId="126" fillId="52" borderId="106" xfId="0" applyNumberFormat="1" applyFont="1" applyFill="1" applyBorder="1" applyAlignment="1">
      <alignment horizontal="center" vertical="center" wrapText="1"/>
    </xf>
    <xf numFmtId="0" fontId="149" fillId="52" borderId="103" xfId="0" applyFont="1" applyFill="1" applyBorder="1" applyAlignment="1">
      <alignment horizontal="left" vertical="center" wrapText="1" indent="1"/>
    </xf>
    <xf numFmtId="3" fontId="149" fillId="52" borderId="104" xfId="0" applyNumberFormat="1" applyFont="1" applyFill="1" applyBorder="1" applyAlignment="1">
      <alignment horizontal="center" vertical="center" wrapText="1"/>
    </xf>
    <xf numFmtId="3" fontId="149" fillId="52" borderId="105" xfId="0" applyNumberFormat="1" applyFont="1" applyFill="1" applyBorder="1" applyAlignment="1">
      <alignment horizontal="center" vertical="center" wrapText="1"/>
    </xf>
    <xf numFmtId="3" fontId="149" fillId="52" borderId="106" xfId="0" applyNumberFormat="1" applyFont="1" applyFill="1" applyBorder="1" applyAlignment="1">
      <alignment horizontal="center" vertical="center" wrapText="1"/>
    </xf>
    <xf numFmtId="0" fontId="135" fillId="52" borderId="103" xfId="0" applyFont="1" applyFill="1" applyBorder="1" applyAlignment="1">
      <alignment horizontal="left" vertical="center" wrapText="1"/>
    </xf>
    <xf numFmtId="3" fontId="135" fillId="52" borderId="104" xfId="0" applyNumberFormat="1" applyFont="1" applyFill="1" applyBorder="1" applyAlignment="1">
      <alignment horizontal="center" vertical="center" wrapText="1"/>
    </xf>
    <xf numFmtId="3" fontId="135" fillId="52" borderId="105" xfId="0" applyNumberFormat="1" applyFont="1" applyFill="1" applyBorder="1" applyAlignment="1">
      <alignment horizontal="center" vertical="center" wrapText="1"/>
    </xf>
    <xf numFmtId="3" fontId="135" fillId="52" borderId="106" xfId="0" applyNumberFormat="1" applyFont="1" applyFill="1" applyBorder="1" applyAlignment="1">
      <alignment horizontal="center" vertical="center" wrapText="1"/>
    </xf>
    <xf numFmtId="0" fontId="116" fillId="52" borderId="94" xfId="0" applyFont="1" applyFill="1" applyBorder="1" applyAlignment="1">
      <alignment horizontal="left" vertical="center" wrapText="1"/>
    </xf>
    <xf numFmtId="3" fontId="116" fillId="52" borderId="95" xfId="0" applyNumberFormat="1" applyFont="1" applyFill="1" applyBorder="1" applyAlignment="1">
      <alignment horizontal="center" vertical="center" wrapText="1"/>
    </xf>
    <xf numFmtId="3" fontId="116" fillId="52" borderId="96" xfId="0" applyNumberFormat="1" applyFont="1" applyFill="1" applyBorder="1" applyAlignment="1">
      <alignment horizontal="center" vertical="center" wrapText="1"/>
    </xf>
    <xf numFmtId="3" fontId="116" fillId="52" borderId="97" xfId="0" applyNumberFormat="1" applyFont="1" applyFill="1" applyBorder="1" applyAlignment="1">
      <alignment horizontal="center" vertical="center" wrapText="1"/>
    </xf>
    <xf numFmtId="0" fontId="116" fillId="52" borderId="87" xfId="0" applyFont="1" applyFill="1" applyBorder="1" applyAlignment="1">
      <alignment horizontal="left" vertical="center" wrapText="1"/>
    </xf>
    <xf numFmtId="3" fontId="116" fillId="52" borderId="44" xfId="0" applyNumberFormat="1" applyFont="1" applyFill="1" applyBorder="1" applyAlignment="1">
      <alignment horizontal="center" vertical="center" wrapText="1"/>
    </xf>
    <xf numFmtId="3" fontId="116" fillId="52" borderId="52" xfId="0" applyNumberFormat="1" applyFont="1" applyFill="1" applyBorder="1" applyAlignment="1">
      <alignment horizontal="center" vertical="center" wrapText="1"/>
    </xf>
    <xf numFmtId="3" fontId="116" fillId="52" borderId="51" xfId="0" applyNumberFormat="1" applyFont="1" applyFill="1" applyBorder="1" applyAlignment="1">
      <alignment horizontal="center" vertical="center" wrapText="1"/>
    </xf>
    <xf numFmtId="1" fontId="116" fillId="34" borderId="0" xfId="0" applyNumberFormat="1" applyFont="1" applyFill="1" applyAlignment="1">
      <alignment horizontal="center" vertical="center"/>
    </xf>
    <xf numFmtId="1" fontId="135" fillId="34" borderId="0" xfId="0" applyNumberFormat="1" applyFont="1" applyFill="1" applyAlignment="1">
      <alignment horizontal="center" vertical="center"/>
    </xf>
    <xf numFmtId="2" fontId="116" fillId="34" borderId="0" xfId="0" applyNumberFormat="1" applyFont="1" applyFill="1" applyAlignment="1">
      <alignment horizontal="center" vertical="center"/>
    </xf>
    <xf numFmtId="1" fontId="116" fillId="0" borderId="0" xfId="0" applyNumberFormat="1" applyFont="1" applyAlignment="1">
      <alignment horizontal="center" vertical="center"/>
    </xf>
    <xf numFmtId="1" fontId="116" fillId="48" borderId="47" xfId="0" applyNumberFormat="1" applyFont="1" applyFill="1" applyBorder="1" applyAlignment="1">
      <alignment horizontal="center" vertical="center"/>
    </xf>
    <xf numFmtId="0" fontId="135" fillId="0" borderId="41" xfId="0" applyFont="1" applyBorder="1" applyAlignment="1">
      <alignment horizontal="left" vertical="center" wrapText="1"/>
    </xf>
    <xf numFmtId="1" fontId="135" fillId="0" borderId="0" xfId="0" applyNumberFormat="1" applyFont="1" applyAlignment="1">
      <alignment horizontal="center" vertical="center"/>
    </xf>
    <xf numFmtId="1" fontId="135" fillId="48" borderId="47" xfId="0" applyNumberFormat="1" applyFont="1" applyFill="1" applyBorder="1" applyAlignment="1">
      <alignment horizontal="center" vertical="center"/>
    </xf>
    <xf numFmtId="2" fontId="116" fillId="0" borderId="0" xfId="0" applyNumberFormat="1" applyFont="1" applyAlignment="1">
      <alignment horizontal="center" vertical="center"/>
    </xf>
    <xf numFmtId="2" fontId="116" fillId="48" borderId="47" xfId="0" applyNumberFormat="1" applyFont="1" applyFill="1" applyBorder="1" applyAlignment="1">
      <alignment horizontal="center" vertical="center"/>
    </xf>
    <xf numFmtId="2" fontId="126" fillId="0" borderId="0" xfId="0" applyNumberFormat="1" applyFont="1" applyAlignment="1">
      <alignment horizontal="left"/>
    </xf>
    <xf numFmtId="10" fontId="126" fillId="50" borderId="44" xfId="132" applyNumberFormat="1" applyFont="1" applyFill="1" applyBorder="1" applyAlignment="1">
      <alignment horizontal="center" vertical="center" wrapText="1"/>
    </xf>
    <xf numFmtId="1" fontId="116" fillId="34" borderId="50" xfId="0" applyNumberFormat="1" applyFont="1" applyFill="1" applyBorder="1" applyAlignment="1">
      <alignment horizontal="center" vertical="center"/>
    </xf>
    <xf numFmtId="0" fontId="126" fillId="0" borderId="41" xfId="0" applyFont="1" applyBorder="1" applyAlignment="1">
      <alignment horizontal="left"/>
    </xf>
    <xf numFmtId="2" fontId="126" fillId="0" borderId="50" xfId="0" applyNumberFormat="1" applyFont="1" applyBorder="1" applyAlignment="1">
      <alignment horizontal="left"/>
    </xf>
    <xf numFmtId="2" fontId="126" fillId="0" borderId="47" xfId="0" applyNumberFormat="1" applyFont="1" applyBorder="1" applyAlignment="1">
      <alignment horizontal="left"/>
    </xf>
    <xf numFmtId="0" fontId="143" fillId="50" borderId="103" xfId="0" applyFont="1" applyFill="1" applyBorder="1" applyAlignment="1">
      <alignment horizontal="left" vertical="center" wrapText="1"/>
    </xf>
    <xf numFmtId="1" fontId="126" fillId="50" borderId="104" xfId="0" applyNumberFormat="1" applyFont="1" applyFill="1" applyBorder="1" applyAlignment="1">
      <alignment horizontal="center" vertical="center" wrapText="1"/>
    </xf>
    <xf numFmtId="1" fontId="126" fillId="50" borderId="105" xfId="0" applyNumberFormat="1" applyFont="1" applyFill="1" applyBorder="1" applyAlignment="1">
      <alignment horizontal="center" vertical="center" wrapText="1"/>
    </xf>
    <xf numFmtId="1" fontId="126" fillId="50" borderId="106" xfId="0" applyNumberFormat="1" applyFont="1" applyFill="1" applyBorder="1" applyAlignment="1">
      <alignment horizontal="center" vertical="center" wrapText="1"/>
    </xf>
    <xf numFmtId="0" fontId="143" fillId="34" borderId="41" xfId="0" applyFont="1" applyFill="1" applyBorder="1" applyAlignment="1">
      <alignment horizontal="left" vertical="center" wrapText="1"/>
    </xf>
    <xf numFmtId="1" fontId="126" fillId="34" borderId="0" xfId="0" applyNumberFormat="1" applyFont="1" applyFill="1" applyAlignment="1">
      <alignment horizontal="center" vertical="center" wrapText="1"/>
    </xf>
    <xf numFmtId="1" fontId="126" fillId="34" borderId="50" xfId="0" applyNumberFormat="1" applyFont="1" applyFill="1" applyBorder="1" applyAlignment="1">
      <alignment horizontal="center" vertical="center" wrapText="1"/>
    </xf>
    <xf numFmtId="1" fontId="126" fillId="34" borderId="47" xfId="0" applyNumberFormat="1" applyFont="1" applyFill="1" applyBorder="1" applyAlignment="1">
      <alignment horizontal="center" vertical="center" wrapText="1"/>
    </xf>
    <xf numFmtId="0" fontId="143" fillId="50" borderId="43" xfId="0" applyFont="1" applyFill="1" applyBorder="1" applyAlignment="1">
      <alignment horizontal="left" vertical="center" wrapText="1"/>
    </xf>
    <xf numFmtId="10" fontId="126" fillId="50" borderId="52" xfId="132" applyNumberFormat="1" applyFont="1" applyFill="1" applyBorder="1" applyAlignment="1">
      <alignment horizontal="center" vertical="center" wrapText="1"/>
    </xf>
    <xf numFmtId="10" fontId="126" fillId="50" borderId="51" xfId="132" applyNumberFormat="1" applyFont="1" applyFill="1" applyBorder="1" applyAlignment="1">
      <alignment horizontal="center" vertical="center" wrapText="1"/>
    </xf>
    <xf numFmtId="10" fontId="126" fillId="50" borderId="104" xfId="132" applyNumberFormat="1" applyFont="1" applyFill="1" applyBorder="1" applyAlignment="1">
      <alignment horizontal="center" vertical="center" wrapText="1"/>
    </xf>
    <xf numFmtId="10" fontId="126" fillId="50" borderId="105" xfId="132" applyNumberFormat="1" applyFont="1" applyFill="1" applyBorder="1" applyAlignment="1">
      <alignment horizontal="center" vertical="center" wrapText="1"/>
    </xf>
    <xf numFmtId="10" fontId="126" fillId="50" borderId="106" xfId="132" applyNumberFormat="1" applyFont="1" applyFill="1" applyBorder="1" applyAlignment="1">
      <alignment horizontal="center" vertical="center" wrapText="1"/>
    </xf>
    <xf numFmtId="2" fontId="126" fillId="0" borderId="104" xfId="0" applyNumberFormat="1" applyFont="1" applyBorder="1" applyAlignment="1">
      <alignment horizontal="left"/>
    </xf>
    <xf numFmtId="2" fontId="126" fillId="0" borderId="105" xfId="0" applyNumberFormat="1" applyFont="1" applyBorder="1" applyAlignment="1">
      <alignment horizontal="left"/>
    </xf>
    <xf numFmtId="2" fontId="126" fillId="0" borderId="106" xfId="0" applyNumberFormat="1" applyFont="1" applyBorder="1" applyAlignment="1">
      <alignment horizontal="left"/>
    </xf>
    <xf numFmtId="0" fontId="130" fillId="0" borderId="0" xfId="184" applyFont="1" applyAlignment="1">
      <alignment horizontal="center" vertical="center"/>
    </xf>
    <xf numFmtId="0" fontId="155" fillId="0" borderId="0" xfId="184" applyFont="1" applyAlignment="1">
      <alignment vertical="center"/>
    </xf>
    <xf numFmtId="0" fontId="115" fillId="0" borderId="0" xfId="184" applyFont="1" applyAlignment="1">
      <alignment horizontal="center" vertical="center"/>
    </xf>
    <xf numFmtId="0" fontId="143" fillId="34" borderId="0" xfId="0" applyFont="1" applyFill="1" applyAlignment="1">
      <alignment horizontal="left" vertical="center" wrapText="1"/>
    </xf>
    <xf numFmtId="1" fontId="126" fillId="34" borderId="0" xfId="132" applyNumberFormat="1" applyFont="1" applyFill="1" applyBorder="1" applyAlignment="1">
      <alignment horizontal="center" vertical="center" wrapText="1"/>
    </xf>
    <xf numFmtId="0" fontId="135" fillId="50" borderId="40" xfId="0" applyFont="1" applyFill="1" applyBorder="1" applyAlignment="1">
      <alignment vertical="center"/>
    </xf>
    <xf numFmtId="0" fontId="116" fillId="0" borderId="108" xfId="0" applyFont="1" applyBorder="1" applyAlignment="1">
      <alignment horizontal="left" vertical="center" wrapText="1"/>
    </xf>
    <xf numFmtId="1" fontId="116" fillId="34" borderId="108" xfId="0" applyNumberFormat="1" applyFont="1" applyFill="1" applyBorder="1" applyAlignment="1">
      <alignment horizontal="center" vertical="center"/>
    </xf>
    <xf numFmtId="1" fontId="116" fillId="0" borderId="108" xfId="0" applyNumberFormat="1" applyFont="1" applyBorder="1" applyAlignment="1">
      <alignment horizontal="center" vertical="center"/>
    </xf>
    <xf numFmtId="1" fontId="116" fillId="48" borderId="110" xfId="0" applyNumberFormat="1" applyFont="1" applyFill="1" applyBorder="1" applyAlignment="1">
      <alignment horizontal="center" vertical="center"/>
    </xf>
    <xf numFmtId="0" fontId="116" fillId="0" borderId="112" xfId="0" applyFont="1" applyBorder="1" applyAlignment="1">
      <alignment horizontal="left" vertical="center" wrapText="1"/>
    </xf>
    <xf numFmtId="1" fontId="116" fillId="34" borderId="112" xfId="0" applyNumberFormat="1" applyFont="1" applyFill="1" applyBorder="1" applyAlignment="1">
      <alignment horizontal="center" vertical="center"/>
    </xf>
    <xf numFmtId="1" fontId="116" fillId="0" borderId="112" xfId="0" applyNumberFormat="1" applyFont="1" applyBorder="1" applyAlignment="1">
      <alignment horizontal="center" vertical="center"/>
    </xf>
    <xf numFmtId="1" fontId="116" fillId="48" borderId="114" xfId="0" applyNumberFormat="1" applyFont="1" applyFill="1" applyBorder="1" applyAlignment="1">
      <alignment horizontal="center" vertical="center"/>
    </xf>
    <xf numFmtId="0" fontId="143" fillId="51" borderId="43" xfId="0" applyFont="1" applyFill="1" applyBorder="1" applyAlignment="1">
      <alignment horizontal="left" vertical="center" wrapText="1"/>
    </xf>
    <xf numFmtId="0" fontId="143" fillId="51" borderId="44" xfId="0" applyFont="1" applyFill="1" applyBorder="1" applyAlignment="1">
      <alignment horizontal="left" vertical="center" wrapText="1"/>
    </xf>
    <xf numFmtId="1" fontId="126" fillId="51" borderId="44" xfId="132" applyNumberFormat="1" applyFont="1" applyFill="1" applyBorder="1" applyAlignment="1">
      <alignment horizontal="center" vertical="center" wrapText="1"/>
    </xf>
    <xf numFmtId="1" fontId="126" fillId="51" borderId="52" xfId="132" applyNumberFormat="1" applyFont="1" applyFill="1" applyBorder="1" applyAlignment="1">
      <alignment horizontal="center" vertical="center" wrapText="1"/>
    </xf>
    <xf numFmtId="1" fontId="126" fillId="51" borderId="51" xfId="132" applyNumberFormat="1" applyFont="1" applyFill="1" applyBorder="1" applyAlignment="1">
      <alignment horizontal="center" vertical="center" wrapText="1"/>
    </xf>
    <xf numFmtId="0" fontId="116" fillId="51" borderId="103" xfId="0" applyFont="1" applyFill="1" applyBorder="1" applyAlignment="1">
      <alignment horizontal="left" vertical="center" wrapText="1"/>
    </xf>
    <xf numFmtId="0" fontId="143" fillId="34" borderId="104" xfId="0" applyFont="1" applyFill="1" applyBorder="1" applyAlignment="1">
      <alignment horizontal="left" vertical="center" wrapText="1"/>
    </xf>
    <xf numFmtId="1" fontId="116" fillId="34" borderId="104" xfId="0" applyNumberFormat="1" applyFont="1" applyFill="1" applyBorder="1" applyAlignment="1">
      <alignment horizontal="center" vertical="center" wrapText="1"/>
    </xf>
    <xf numFmtId="1" fontId="116" fillId="0" borderId="104" xfId="0" applyNumberFormat="1" applyFont="1" applyBorder="1" applyAlignment="1">
      <alignment horizontal="center" vertical="center" wrapText="1"/>
    </xf>
    <xf numFmtId="1" fontId="116" fillId="48" borderId="106" xfId="0" applyNumberFormat="1" applyFont="1" applyFill="1" applyBorder="1" applyAlignment="1">
      <alignment horizontal="center" vertical="center" wrapText="1"/>
    </xf>
    <xf numFmtId="0" fontId="156" fillId="0" borderId="0" xfId="0" applyFont="1" applyAlignment="1">
      <alignment horizontal="left" vertical="top" wrapText="1"/>
    </xf>
    <xf numFmtId="1" fontId="116" fillId="0" borderId="0" xfId="132" applyNumberFormat="1" applyFont="1" applyFill="1" applyBorder="1" applyAlignment="1">
      <alignment horizontal="center" vertical="center"/>
    </xf>
    <xf numFmtId="0" fontId="126" fillId="53" borderId="99" xfId="0" applyFont="1" applyFill="1" applyBorder="1" applyAlignment="1">
      <alignment horizontal="left" vertical="center" wrapText="1"/>
    </xf>
    <xf numFmtId="1" fontId="126" fillId="53" borderId="100" xfId="0" applyNumberFormat="1" applyFont="1" applyFill="1" applyBorder="1" applyAlignment="1">
      <alignment horizontal="center" vertical="center" wrapText="1"/>
    </xf>
    <xf numFmtId="1" fontId="126" fillId="53" borderId="101" xfId="0" applyNumberFormat="1" applyFont="1" applyFill="1" applyBorder="1" applyAlignment="1">
      <alignment horizontal="center" vertical="center" wrapText="1"/>
    </xf>
    <xf numFmtId="1" fontId="126" fillId="53" borderId="102" xfId="0" applyNumberFormat="1" applyFont="1" applyFill="1" applyBorder="1" applyAlignment="1">
      <alignment horizontal="center" vertical="center" wrapText="1"/>
    </xf>
    <xf numFmtId="0" fontId="126" fillId="53" borderId="103" xfId="0" applyFont="1" applyFill="1" applyBorder="1" applyAlignment="1">
      <alignment horizontal="left" vertical="center" wrapText="1"/>
    </xf>
    <xf numFmtId="1" fontId="126" fillId="53" borderId="104" xfId="0" applyNumberFormat="1" applyFont="1" applyFill="1" applyBorder="1" applyAlignment="1">
      <alignment horizontal="center" vertical="center" wrapText="1"/>
    </xf>
    <xf numFmtId="1" fontId="126" fillId="53" borderId="105" xfId="0" applyNumberFormat="1" applyFont="1" applyFill="1" applyBorder="1" applyAlignment="1">
      <alignment horizontal="center" vertical="center" wrapText="1"/>
    </xf>
    <xf numFmtId="0" fontId="126" fillId="53" borderId="43" xfId="0" applyFont="1" applyFill="1" applyBorder="1" applyAlignment="1">
      <alignment horizontal="left" vertical="center" wrapText="1"/>
    </xf>
    <xf numFmtId="1" fontId="126" fillId="53" borderId="44" xfId="0" applyNumberFormat="1" applyFont="1" applyFill="1" applyBorder="1" applyAlignment="1">
      <alignment horizontal="center" vertical="center" wrapText="1"/>
    </xf>
    <xf numFmtId="1" fontId="126" fillId="53" borderId="52" xfId="0" applyNumberFormat="1" applyFont="1" applyFill="1" applyBorder="1" applyAlignment="1">
      <alignment horizontal="center" vertical="center" wrapText="1"/>
    </xf>
    <xf numFmtId="1" fontId="126" fillId="53" borderId="51" xfId="0" applyNumberFormat="1" applyFont="1" applyFill="1" applyBorder="1" applyAlignment="1">
      <alignment horizontal="center" vertical="center" wrapText="1"/>
    </xf>
    <xf numFmtId="0" fontId="116" fillId="0" borderId="103" xfId="0" applyFont="1" applyBorder="1" applyAlignment="1">
      <alignment horizontal="left" vertical="center"/>
    </xf>
    <xf numFmtId="1" fontId="116" fillId="0" borderId="104" xfId="0" applyNumberFormat="1" applyFont="1" applyBorder="1" applyAlignment="1">
      <alignment horizontal="center" vertical="center"/>
    </xf>
    <xf numFmtId="1" fontId="116" fillId="34" borderId="104" xfId="0" applyNumberFormat="1" applyFont="1" applyFill="1" applyBorder="1" applyAlignment="1">
      <alignment horizontal="center" vertical="center"/>
    </xf>
    <xf numFmtId="1" fontId="116" fillId="48" borderId="106" xfId="0" applyNumberFormat="1" applyFont="1" applyFill="1" applyBorder="1" applyAlignment="1">
      <alignment horizontal="center" vertical="center"/>
    </xf>
    <xf numFmtId="0" fontId="156" fillId="0" borderId="0" xfId="184" applyFont="1" applyAlignment="1">
      <alignment horizontal="center" vertical="center"/>
    </xf>
    <xf numFmtId="0" fontId="116" fillId="0" borderId="0" xfId="0" applyFont="1" applyAlignment="1">
      <alignment horizontal="center" vertical="center"/>
    </xf>
    <xf numFmtId="1" fontId="116" fillId="34" borderId="0" xfId="132" applyNumberFormat="1" applyFont="1" applyFill="1" applyBorder="1" applyAlignment="1">
      <alignment horizontal="center" vertical="center"/>
    </xf>
    <xf numFmtId="1" fontId="126" fillId="34" borderId="0" xfId="0" applyNumberFormat="1" applyFont="1" applyFill="1" applyAlignment="1">
      <alignment vertical="center"/>
    </xf>
    <xf numFmtId="1" fontId="126" fillId="34" borderId="33" xfId="0" applyNumberFormat="1" applyFont="1" applyFill="1" applyBorder="1" applyAlignment="1">
      <alignment vertical="center"/>
    </xf>
    <xf numFmtId="169" fontId="126" fillId="37" borderId="0" xfId="132" applyNumberFormat="1" applyFont="1" applyFill="1" applyBorder="1" applyAlignment="1">
      <alignment horizontal="center" vertical="center" wrapText="1"/>
    </xf>
    <xf numFmtId="169" fontId="126" fillId="34" borderId="0" xfId="132" applyNumberFormat="1" applyFont="1" applyFill="1" applyBorder="1" applyAlignment="1">
      <alignment vertical="center"/>
    </xf>
    <xf numFmtId="9" fontId="126" fillId="37" borderId="0" xfId="132" applyFont="1" applyFill="1" applyBorder="1" applyAlignment="1">
      <alignment horizontal="center" vertical="center" wrapText="1"/>
    </xf>
    <xf numFmtId="9" fontId="126" fillId="34" borderId="0" xfId="132" applyFont="1" applyFill="1" applyBorder="1" applyAlignment="1">
      <alignment vertical="center"/>
    </xf>
    <xf numFmtId="0" fontId="126" fillId="50" borderId="13" xfId="0" applyFont="1" applyFill="1" applyBorder="1" applyAlignment="1">
      <alignment horizontal="center" vertical="center" wrapText="1"/>
    </xf>
    <xf numFmtId="3" fontId="116" fillId="48" borderId="14" xfId="0" applyNumberFormat="1" applyFont="1" applyFill="1" applyBorder="1" applyAlignment="1">
      <alignment horizontal="center" vertical="center"/>
    </xf>
    <xf numFmtId="1" fontId="116" fillId="48" borderId="14" xfId="132" applyNumberFormat="1" applyFont="1" applyFill="1" applyBorder="1" applyAlignment="1">
      <alignment horizontal="center" vertical="center"/>
    </xf>
    <xf numFmtId="1" fontId="116" fillId="48" borderId="14" xfId="0" applyNumberFormat="1" applyFont="1" applyFill="1" applyBorder="1" applyAlignment="1">
      <alignment horizontal="center" vertical="center"/>
    </xf>
    <xf numFmtId="1" fontId="126" fillId="48" borderId="29" xfId="0" applyNumberFormat="1" applyFont="1" applyFill="1" applyBorder="1" applyAlignment="1">
      <alignment horizontal="center" vertical="center"/>
    </xf>
    <xf numFmtId="1" fontId="116" fillId="48" borderId="29" xfId="0" applyNumberFormat="1" applyFont="1" applyFill="1" applyBorder="1" applyAlignment="1">
      <alignment horizontal="center" vertical="center"/>
    </xf>
    <xf numFmtId="3" fontId="126" fillId="48" borderId="29" xfId="0" applyNumberFormat="1" applyFont="1" applyFill="1" applyBorder="1" applyAlignment="1">
      <alignment horizontal="center" vertical="center"/>
    </xf>
    <xf numFmtId="169" fontId="126" fillId="48" borderId="14" xfId="132" applyNumberFormat="1" applyFont="1" applyFill="1" applyBorder="1" applyAlignment="1">
      <alignment horizontal="center" vertical="center"/>
    </xf>
    <xf numFmtId="9" fontId="126" fillId="48" borderId="14" xfId="132" applyFont="1" applyFill="1" applyBorder="1" applyAlignment="1">
      <alignment horizontal="center" vertical="center"/>
    </xf>
    <xf numFmtId="169" fontId="126" fillId="48" borderId="15" xfId="132" applyNumberFormat="1" applyFont="1" applyFill="1" applyBorder="1" applyAlignment="1">
      <alignment horizontal="center" vertical="center"/>
    </xf>
    <xf numFmtId="0" fontId="126" fillId="34" borderId="14" xfId="0" applyFont="1" applyFill="1" applyBorder="1" applyAlignment="1">
      <alignment vertical="center"/>
    </xf>
    <xf numFmtId="1" fontId="126" fillId="34" borderId="14" xfId="0" applyNumberFormat="1" applyFont="1" applyFill="1" applyBorder="1" applyAlignment="1">
      <alignment vertical="center"/>
    </xf>
    <xf numFmtId="169" fontId="126" fillId="34" borderId="14" xfId="132" applyNumberFormat="1" applyFont="1" applyFill="1" applyBorder="1" applyAlignment="1">
      <alignment vertical="center"/>
    </xf>
    <xf numFmtId="0" fontId="126" fillId="34" borderId="35" xfId="0" applyFont="1" applyFill="1" applyBorder="1" applyAlignment="1">
      <alignment vertical="center"/>
    </xf>
    <xf numFmtId="169" fontId="126" fillId="34" borderId="35" xfId="132" applyNumberFormat="1" applyFont="1" applyFill="1" applyBorder="1" applyAlignment="1">
      <alignment vertical="center"/>
    </xf>
    <xf numFmtId="1" fontId="116" fillId="37" borderId="0" xfId="0" applyNumberFormat="1" applyFont="1" applyFill="1" applyAlignment="1">
      <alignment horizontal="center" vertical="center" wrapText="1"/>
    </xf>
    <xf numFmtId="0" fontId="126" fillId="37" borderId="41" xfId="0" applyFont="1" applyFill="1" applyBorder="1" applyAlignment="1">
      <alignment horizontal="left" vertical="center" wrapText="1"/>
    </xf>
    <xf numFmtId="1" fontId="126" fillId="37" borderId="0" xfId="0" applyNumberFormat="1" applyFont="1" applyFill="1" applyAlignment="1">
      <alignment horizontal="center" vertical="center" wrapText="1"/>
    </xf>
    <xf numFmtId="169" fontId="126" fillId="37" borderId="44" xfId="132" applyNumberFormat="1" applyFont="1" applyFill="1" applyBorder="1" applyAlignment="1">
      <alignment horizontal="center" vertical="center" wrapText="1"/>
    </xf>
    <xf numFmtId="0" fontId="126" fillId="37" borderId="103" xfId="0" applyFont="1" applyFill="1" applyBorder="1" applyAlignment="1">
      <alignment horizontal="left" vertical="center" wrapText="1"/>
    </xf>
    <xf numFmtId="3" fontId="126" fillId="37" borderId="104" xfId="0" applyNumberFormat="1" applyFont="1" applyFill="1" applyBorder="1" applyAlignment="1">
      <alignment horizontal="center" vertical="center" wrapText="1"/>
    </xf>
    <xf numFmtId="1" fontId="126" fillId="37" borderId="104" xfId="0" applyNumberFormat="1" applyFont="1" applyFill="1" applyBorder="1" applyAlignment="1">
      <alignment horizontal="center" vertical="center" wrapText="1"/>
    </xf>
    <xf numFmtId="0" fontId="126" fillId="34" borderId="103" xfId="0" applyFont="1" applyFill="1" applyBorder="1" applyAlignment="1">
      <alignment horizontal="left" vertical="center" wrapText="1"/>
    </xf>
    <xf numFmtId="3" fontId="126" fillId="0" borderId="104" xfId="0" applyNumberFormat="1" applyFont="1" applyBorder="1" applyAlignment="1">
      <alignment horizontal="center" vertical="center"/>
    </xf>
    <xf numFmtId="3" fontId="126" fillId="48" borderId="106" xfId="0" applyNumberFormat="1" applyFont="1" applyFill="1" applyBorder="1" applyAlignment="1">
      <alignment horizontal="center" vertical="center"/>
    </xf>
    <xf numFmtId="1" fontId="116" fillId="34" borderId="50" xfId="132" applyNumberFormat="1" applyFont="1" applyFill="1" applyBorder="1" applyAlignment="1">
      <alignment horizontal="center" vertical="center"/>
    </xf>
    <xf numFmtId="3" fontId="126" fillId="0" borderId="105" xfId="0" applyNumberFormat="1" applyFont="1" applyBorder="1" applyAlignment="1">
      <alignment horizontal="center" vertical="center"/>
    </xf>
    <xf numFmtId="1" fontId="116" fillId="37" borderId="50" xfId="0" applyNumberFormat="1" applyFont="1" applyFill="1" applyBorder="1" applyAlignment="1">
      <alignment horizontal="center" vertical="center" wrapText="1"/>
    </xf>
    <xf numFmtId="1" fontId="126" fillId="37" borderId="105" xfId="0" applyNumberFormat="1" applyFont="1" applyFill="1" applyBorder="1" applyAlignment="1">
      <alignment horizontal="center" vertical="center" wrapText="1"/>
    </xf>
    <xf numFmtId="1" fontId="126" fillId="37" borderId="50" xfId="0" applyNumberFormat="1" applyFont="1" applyFill="1" applyBorder="1" applyAlignment="1">
      <alignment horizontal="center" vertical="center" wrapText="1"/>
    </xf>
    <xf numFmtId="3" fontId="126" fillId="37" borderId="105" xfId="0" applyNumberFormat="1" applyFont="1" applyFill="1" applyBorder="1" applyAlignment="1">
      <alignment horizontal="center" vertical="center" wrapText="1"/>
    </xf>
    <xf numFmtId="169" fontId="126" fillId="37" borderId="50" xfId="132" applyNumberFormat="1" applyFont="1" applyFill="1" applyBorder="1" applyAlignment="1">
      <alignment horizontal="center" vertical="center" wrapText="1"/>
    </xf>
    <xf numFmtId="9" fontId="126" fillId="37" borderId="50" xfId="132" applyFont="1" applyFill="1" applyBorder="1" applyAlignment="1">
      <alignment horizontal="center" vertical="center" wrapText="1"/>
    </xf>
    <xf numFmtId="169" fontId="126" fillId="37" borderId="52" xfId="132" applyNumberFormat="1" applyFont="1" applyFill="1" applyBorder="1" applyAlignment="1">
      <alignment horizontal="center" vertical="center" wrapText="1"/>
    </xf>
    <xf numFmtId="0" fontId="122" fillId="0" borderId="0" xfId="186" applyFont="1"/>
    <xf numFmtId="0" fontId="118" fillId="0" borderId="0" xfId="39" applyFont="1" applyBorder="1" applyAlignment="1" applyProtection="1">
      <alignment horizontal="right"/>
    </xf>
    <xf numFmtId="0" fontId="121" fillId="0" borderId="0" xfId="186" applyFont="1"/>
    <xf numFmtId="0" fontId="125" fillId="0" borderId="0" xfId="186" applyFont="1" applyAlignment="1">
      <alignment horizontal="center" vertical="center" wrapText="1"/>
    </xf>
    <xf numFmtId="0" fontId="157" fillId="34" borderId="0" xfId="186" applyFont="1" applyFill="1"/>
    <xf numFmtId="0" fontId="117" fillId="0" borderId="0" xfId="186" applyFont="1"/>
    <xf numFmtId="9" fontId="121" fillId="0" borderId="0" xfId="132" applyFont="1" applyAlignment="1">
      <alignment horizontal="left" vertical="center"/>
    </xf>
    <xf numFmtId="3" fontId="126" fillId="34" borderId="0" xfId="186" applyNumberFormat="1" applyFont="1" applyFill="1" applyAlignment="1">
      <alignment horizontal="center"/>
    </xf>
    <xf numFmtId="3" fontId="116" fillId="34" borderId="0" xfId="186" applyNumberFormat="1" applyFont="1" applyFill="1" applyAlignment="1">
      <alignment horizontal="center"/>
    </xf>
    <xf numFmtId="9" fontId="115" fillId="0" borderId="0" xfId="132" applyFont="1" applyAlignment="1">
      <alignment horizontal="left" vertical="center"/>
    </xf>
    <xf numFmtId="0" fontId="134" fillId="50" borderId="39" xfId="186" applyFont="1" applyFill="1" applyBorder="1" applyAlignment="1">
      <alignment horizontal="left" vertical="center"/>
    </xf>
    <xf numFmtId="173" fontId="126" fillId="50" borderId="40" xfId="186" applyNumberFormat="1" applyFont="1" applyFill="1" applyBorder="1" applyAlignment="1">
      <alignment horizontal="center" vertical="center" wrapText="1"/>
    </xf>
    <xf numFmtId="173" fontId="126" fillId="50" borderId="46" xfId="186" applyNumberFormat="1" applyFont="1" applyFill="1" applyBorder="1" applyAlignment="1">
      <alignment horizontal="center" vertical="center" wrapText="1"/>
    </xf>
    <xf numFmtId="0" fontId="134" fillId="34" borderId="41" xfId="186" applyFont="1" applyFill="1" applyBorder="1"/>
    <xf numFmtId="3" fontId="126" fillId="0" borderId="0" xfId="186" applyNumberFormat="1" applyFont="1" applyAlignment="1">
      <alignment horizontal="center"/>
    </xf>
    <xf numFmtId="3" fontId="126" fillId="48" borderId="47" xfId="186" applyNumberFormat="1" applyFont="1" applyFill="1" applyBorder="1" applyAlignment="1">
      <alignment horizontal="center"/>
    </xf>
    <xf numFmtId="0" fontId="126" fillId="34" borderId="41" xfId="186" applyFont="1" applyFill="1" applyBorder="1"/>
    <xf numFmtId="0" fontId="116" fillId="34" borderId="41" xfId="186" applyFont="1" applyFill="1" applyBorder="1"/>
    <xf numFmtId="3" fontId="116" fillId="0" borderId="0" xfId="186" applyNumberFormat="1" applyFont="1" applyAlignment="1">
      <alignment horizontal="center"/>
    </xf>
    <xf numFmtId="3" fontId="116" fillId="48" borderId="47" xfId="186" applyNumberFormat="1" applyFont="1" applyFill="1" applyBorder="1" applyAlignment="1">
      <alignment horizontal="center"/>
    </xf>
    <xf numFmtId="0" fontId="126" fillId="34" borderId="43" xfId="186" applyFont="1" applyFill="1" applyBorder="1"/>
    <xf numFmtId="169" fontId="126" fillId="34" borderId="44" xfId="132" applyNumberFormat="1" applyFont="1" applyFill="1" applyBorder="1" applyAlignment="1">
      <alignment horizontal="center"/>
    </xf>
    <xf numFmtId="169" fontId="126" fillId="0" borderId="44" xfId="132" applyNumberFormat="1" applyFont="1" applyFill="1" applyBorder="1" applyAlignment="1">
      <alignment horizontal="center"/>
    </xf>
    <xf numFmtId="169" fontId="126" fillId="48" borderId="51" xfId="132" applyNumberFormat="1" applyFont="1" applyFill="1" applyBorder="1" applyAlignment="1">
      <alignment horizontal="center"/>
    </xf>
    <xf numFmtId="173" fontId="126" fillId="50" borderId="49" xfId="186" applyNumberFormat="1" applyFont="1" applyFill="1" applyBorder="1" applyAlignment="1">
      <alignment horizontal="center" vertical="center" wrapText="1"/>
    </xf>
    <xf numFmtId="0" fontId="120" fillId="0" borderId="0" xfId="39" applyFont="1" applyBorder="1" applyAlignment="1" applyProtection="1">
      <alignment horizontal="right"/>
    </xf>
    <xf numFmtId="169" fontId="126" fillId="34" borderId="0" xfId="132" applyNumberFormat="1" applyFont="1" applyFill="1" applyBorder="1" applyAlignment="1">
      <alignment horizontal="center"/>
    </xf>
    <xf numFmtId="169" fontId="126" fillId="0" borderId="0" xfId="132" applyNumberFormat="1" applyFont="1" applyFill="1" applyBorder="1" applyAlignment="1">
      <alignment horizontal="center"/>
    </xf>
    <xf numFmtId="169" fontId="116" fillId="34" borderId="0" xfId="132" applyNumberFormat="1" applyFont="1" applyFill="1" applyBorder="1" applyAlignment="1">
      <alignment horizontal="center"/>
    </xf>
    <xf numFmtId="169" fontId="116" fillId="0" borderId="0" xfId="132" applyNumberFormat="1" applyFont="1" applyFill="1" applyBorder="1" applyAlignment="1">
      <alignment horizontal="center"/>
    </xf>
    <xf numFmtId="9" fontId="126" fillId="34" borderId="0" xfId="132" applyFont="1" applyFill="1" applyBorder="1" applyAlignment="1">
      <alignment horizontal="center"/>
    </xf>
    <xf numFmtId="0" fontId="158" fillId="34" borderId="0" xfId="186" applyFont="1" applyFill="1"/>
    <xf numFmtId="0" fontId="116" fillId="0" borderId="0" xfId="186" applyFont="1"/>
    <xf numFmtId="0" fontId="126" fillId="0" borderId="0" xfId="186" applyFont="1" applyAlignment="1">
      <alignment horizontal="center" vertical="center" wrapText="1"/>
    </xf>
    <xf numFmtId="0" fontId="116" fillId="34" borderId="41" xfId="186" applyFont="1" applyFill="1" applyBorder="1" applyAlignment="1">
      <alignment horizontal="left" vertical="center"/>
    </xf>
    <xf numFmtId="0" fontId="126" fillId="34" borderId="41" xfId="186" applyFont="1" applyFill="1" applyBorder="1" applyAlignment="1">
      <alignment horizontal="left" vertical="center"/>
    </xf>
    <xf numFmtId="169" fontId="126" fillId="48" borderId="47" xfId="132" applyNumberFormat="1" applyFont="1" applyFill="1" applyBorder="1" applyAlignment="1">
      <alignment horizontal="center"/>
    </xf>
    <xf numFmtId="169" fontId="116" fillId="48" borderId="47" xfId="132" applyNumberFormat="1" applyFont="1" applyFill="1" applyBorder="1" applyAlignment="1">
      <alignment horizontal="center"/>
    </xf>
    <xf numFmtId="0" fontId="134" fillId="0" borderId="41" xfId="186" applyFont="1" applyBorder="1"/>
    <xf numFmtId="0" fontId="126" fillId="0" borderId="41" xfId="186" applyFont="1" applyBorder="1"/>
    <xf numFmtId="0" fontId="116" fillId="0" borderId="41" xfId="186" applyFont="1" applyBorder="1"/>
    <xf numFmtId="0" fontId="116" fillId="34" borderId="0" xfId="186" applyFont="1" applyFill="1"/>
    <xf numFmtId="0" fontId="155" fillId="0" borderId="0" xfId="184" applyFont="1"/>
    <xf numFmtId="174" fontId="155" fillId="0" borderId="0" xfId="184" applyNumberFormat="1" applyFont="1"/>
    <xf numFmtId="0" fontId="159" fillId="0" borderId="0" xfId="184" applyFont="1"/>
    <xf numFmtId="174" fontId="159" fillId="0" borderId="0" xfId="184" applyNumberFormat="1" applyFont="1"/>
    <xf numFmtId="0" fontId="116" fillId="34" borderId="43" xfId="186" applyFont="1" applyFill="1" applyBorder="1" applyAlignment="1">
      <alignment horizontal="left" vertical="center"/>
    </xf>
    <xf numFmtId="3" fontId="116" fillId="34" borderId="44" xfId="186" applyNumberFormat="1" applyFont="1" applyFill="1" applyBorder="1" applyAlignment="1">
      <alignment horizontal="center"/>
    </xf>
    <xf numFmtId="3" fontId="116" fillId="0" borderId="44" xfId="186" applyNumberFormat="1" applyFont="1" applyBorder="1" applyAlignment="1">
      <alignment horizontal="center"/>
    </xf>
    <xf numFmtId="3" fontId="116" fillId="48" borderId="51" xfId="186" applyNumberFormat="1" applyFont="1" applyFill="1" applyBorder="1" applyAlignment="1">
      <alignment horizontal="center"/>
    </xf>
    <xf numFmtId="3" fontId="126" fillId="36" borderId="0" xfId="186" applyNumberFormat="1" applyFont="1" applyFill="1" applyAlignment="1">
      <alignment horizontal="center"/>
    </xf>
    <xf numFmtId="0" fontId="126" fillId="36" borderId="0" xfId="186" applyFont="1" applyFill="1" applyAlignment="1">
      <alignment horizontal="center"/>
    </xf>
    <xf numFmtId="3" fontId="116" fillId="36" borderId="0" xfId="186" applyNumberFormat="1" applyFont="1" applyFill="1" applyAlignment="1">
      <alignment horizontal="center"/>
    </xf>
    <xf numFmtId="0" fontId="158" fillId="0" borderId="0" xfId="186" applyFont="1"/>
    <xf numFmtId="0" fontId="126" fillId="50" borderId="39" xfId="186" applyFont="1" applyFill="1" applyBorder="1" applyAlignment="1">
      <alignment horizontal="left" vertical="center"/>
    </xf>
    <xf numFmtId="3" fontId="126" fillId="54" borderId="47" xfId="186" applyNumberFormat="1" applyFont="1" applyFill="1" applyBorder="1" applyAlignment="1">
      <alignment horizontal="center"/>
    </xf>
    <xf numFmtId="0" fontId="126" fillId="0" borderId="0" xfId="186" applyFont="1" applyAlignment="1">
      <alignment horizontal="center"/>
    </xf>
    <xf numFmtId="0" fontId="126" fillId="54" borderId="47" xfId="186" applyFont="1" applyFill="1" applyBorder="1" applyAlignment="1">
      <alignment horizontal="center"/>
    </xf>
    <xf numFmtId="0" fontId="126" fillId="0" borderId="41" xfId="186" applyFont="1" applyBorder="1" applyAlignment="1">
      <alignment horizontal="left" vertical="center"/>
    </xf>
    <xf numFmtId="0" fontId="116" fillId="0" borderId="41" xfId="186" applyFont="1" applyBorder="1" applyAlignment="1">
      <alignment horizontal="left" vertical="center" indent="1"/>
    </xf>
    <xf numFmtId="3" fontId="116" fillId="54" borderId="47" xfId="186" applyNumberFormat="1" applyFont="1" applyFill="1" applyBorder="1" applyAlignment="1">
      <alignment horizontal="center"/>
    </xf>
    <xf numFmtId="0" fontId="126" fillId="0" borderId="43" xfId="186" applyFont="1" applyBorder="1"/>
    <xf numFmtId="194" fontId="126" fillId="34" borderId="44" xfId="353" applyNumberFormat="1" applyFont="1" applyFill="1" applyBorder="1" applyAlignment="1">
      <alignment horizontal="center"/>
    </xf>
    <xf numFmtId="194" fontId="126" fillId="0" borderId="44" xfId="353" applyNumberFormat="1" applyFont="1" applyFill="1" applyBorder="1" applyAlignment="1">
      <alignment horizontal="center"/>
    </xf>
    <xf numFmtId="194" fontId="126" fillId="48" borderId="51" xfId="353" applyNumberFormat="1" applyFont="1" applyFill="1" applyBorder="1" applyAlignment="1">
      <alignment horizontal="center"/>
    </xf>
    <xf numFmtId="0" fontId="161" fillId="0" borderId="0" xfId="186" applyFont="1"/>
    <xf numFmtId="0" fontId="162" fillId="0" borderId="0" xfId="39" applyFont="1" applyBorder="1" applyAlignment="1" applyProtection="1">
      <alignment horizontal="right"/>
    </xf>
    <xf numFmtId="0" fontId="163" fillId="0" borderId="0" xfId="184" applyFont="1" applyAlignment="1">
      <alignment horizontal="center" vertical="center"/>
    </xf>
    <xf numFmtId="0" fontId="160" fillId="0" borderId="0" xfId="186" applyFont="1"/>
    <xf numFmtId="0" fontId="160" fillId="0" borderId="0" xfId="186" applyFont="1" applyAlignment="1">
      <alignment horizontal="center" vertical="center" wrapText="1"/>
    </xf>
    <xf numFmtId="0" fontId="115" fillId="34" borderId="0" xfId="0" applyFont="1" applyFill="1"/>
    <xf numFmtId="179" fontId="160" fillId="34" borderId="0" xfId="186" applyNumberFormat="1" applyFont="1" applyFill="1" applyAlignment="1">
      <alignment horizontal="left" vertical="center" wrapText="1"/>
    </xf>
    <xf numFmtId="3" fontId="160" fillId="34" borderId="0" xfId="186" applyNumberFormat="1" applyFont="1" applyFill="1" applyAlignment="1">
      <alignment horizontal="center"/>
    </xf>
    <xf numFmtId="179" fontId="164" fillId="34" borderId="0" xfId="186" applyNumberFormat="1" applyFont="1" applyFill="1" applyAlignment="1">
      <alignment horizontal="left" vertical="center" wrapText="1"/>
    </xf>
    <xf numFmtId="169" fontId="164" fillId="34" borderId="0" xfId="132" applyNumberFormat="1" applyFont="1" applyFill="1" applyBorder="1" applyAlignment="1">
      <alignment horizontal="center"/>
    </xf>
    <xf numFmtId="169" fontId="115" fillId="34" borderId="0" xfId="0" applyNumberFormat="1" applyFont="1" applyFill="1"/>
    <xf numFmtId="173" fontId="164" fillId="48" borderId="0" xfId="186" applyNumberFormat="1" applyFont="1" applyFill="1" applyAlignment="1">
      <alignment horizontal="center" vertical="center" wrapText="1"/>
    </xf>
    <xf numFmtId="0" fontId="115" fillId="34" borderId="50" xfId="0" applyFont="1" applyFill="1" applyBorder="1"/>
    <xf numFmtId="173" fontId="164" fillId="48" borderId="50" xfId="186" applyNumberFormat="1" applyFont="1" applyFill="1" applyBorder="1" applyAlignment="1">
      <alignment horizontal="center" vertical="center" wrapText="1"/>
    </xf>
    <xf numFmtId="3" fontId="160" fillId="34" borderId="50" xfId="186" applyNumberFormat="1" applyFont="1" applyFill="1" applyBorder="1" applyAlignment="1">
      <alignment horizontal="center"/>
    </xf>
    <xf numFmtId="169" fontId="164" fillId="34" borderId="50" xfId="132" applyNumberFormat="1" applyFont="1" applyFill="1" applyBorder="1" applyAlignment="1">
      <alignment horizontal="center"/>
    </xf>
    <xf numFmtId="169" fontId="115" fillId="34" borderId="50" xfId="0" applyNumberFormat="1" applyFont="1" applyFill="1" applyBorder="1"/>
    <xf numFmtId="0" fontId="160" fillId="0" borderId="50" xfId="186" applyFont="1" applyBorder="1"/>
    <xf numFmtId="0" fontId="115" fillId="34" borderId="0" xfId="0" applyFont="1" applyFill="1" applyAlignment="1">
      <alignment horizontal="center"/>
    </xf>
    <xf numFmtId="0" fontId="115" fillId="34" borderId="50" xfId="0" applyFont="1" applyFill="1" applyBorder="1" applyAlignment="1">
      <alignment horizontal="center"/>
    </xf>
    <xf numFmtId="179" fontId="160" fillId="34" borderId="40" xfId="186" applyNumberFormat="1" applyFont="1" applyFill="1" applyBorder="1" applyAlignment="1">
      <alignment horizontal="left" vertical="center" wrapText="1"/>
    </xf>
    <xf numFmtId="3" fontId="160" fillId="34" borderId="40" xfId="186" applyNumberFormat="1" applyFont="1" applyFill="1" applyBorder="1" applyAlignment="1">
      <alignment horizontal="center"/>
    </xf>
    <xf numFmtId="3" fontId="160" fillId="34" borderId="49" xfId="186" applyNumberFormat="1" applyFont="1" applyFill="1" applyBorder="1" applyAlignment="1">
      <alignment horizontal="center"/>
    </xf>
    <xf numFmtId="173" fontId="164" fillId="48" borderId="0" xfId="186" applyNumberFormat="1" applyFont="1" applyFill="1" applyAlignment="1">
      <alignment horizontal="left" vertical="center" wrapText="1"/>
    </xf>
    <xf numFmtId="179" fontId="164" fillId="34" borderId="44" xfId="186" applyNumberFormat="1" applyFont="1" applyFill="1" applyBorder="1" applyAlignment="1">
      <alignment horizontal="left" vertical="center" wrapText="1"/>
    </xf>
    <xf numFmtId="0" fontId="115" fillId="34" borderId="44" xfId="0" applyFont="1" applyFill="1" applyBorder="1"/>
    <xf numFmtId="0" fontId="115" fillId="34" borderId="52" xfId="0" applyFont="1" applyFill="1" applyBorder="1"/>
    <xf numFmtId="173" fontId="143" fillId="50" borderId="40" xfId="186" applyNumberFormat="1" applyFont="1" applyFill="1" applyBorder="1" applyAlignment="1">
      <alignment horizontal="center" vertical="center" wrapText="1"/>
    </xf>
    <xf numFmtId="0" fontId="122" fillId="0" borderId="0" xfId="186" applyFont="1" applyAlignment="1">
      <alignment horizontal="center"/>
    </xf>
    <xf numFmtId="0" fontId="120" fillId="0" borderId="0" xfId="39" applyFont="1" applyBorder="1" applyAlignment="1" applyProtection="1">
      <alignment horizontal="center"/>
    </xf>
    <xf numFmtId="0" fontId="121" fillId="0" borderId="0" xfId="186" applyFont="1" applyAlignment="1">
      <alignment horizontal="center"/>
    </xf>
    <xf numFmtId="0" fontId="164" fillId="50" borderId="39" xfId="186" applyFont="1" applyFill="1" applyBorder="1" applyAlignment="1">
      <alignment horizontal="left" vertical="center"/>
    </xf>
    <xf numFmtId="173" fontId="164" fillId="50" borderId="40" xfId="186" applyNumberFormat="1" applyFont="1" applyFill="1" applyBorder="1" applyAlignment="1">
      <alignment horizontal="center" vertical="center" wrapText="1"/>
    </xf>
    <xf numFmtId="173" fontId="164" fillId="50" borderId="46" xfId="186" applyNumberFormat="1" applyFont="1" applyFill="1" applyBorder="1" applyAlignment="1">
      <alignment horizontal="center" vertical="center" wrapText="1"/>
    </xf>
    <xf numFmtId="0" fontId="116" fillId="0" borderId="0" xfId="186" applyFont="1" applyAlignment="1">
      <alignment horizontal="center"/>
    </xf>
    <xf numFmtId="0" fontId="121" fillId="0" borderId="0" xfId="0" applyFont="1"/>
    <xf numFmtId="0" fontId="115" fillId="0" borderId="0" xfId="0" applyFont="1"/>
    <xf numFmtId="3" fontId="116" fillId="34" borderId="0" xfId="0" applyNumberFormat="1" applyFont="1" applyFill="1" applyAlignment="1">
      <alignment horizontal="center" vertical="center" wrapText="1"/>
    </xf>
    <xf numFmtId="3" fontId="160" fillId="34" borderId="0" xfId="0" applyNumberFormat="1" applyFont="1" applyFill="1" applyAlignment="1">
      <alignment horizontal="center" vertical="center"/>
    </xf>
    <xf numFmtId="0" fontId="135" fillId="0" borderId="0" xfId="0" applyFont="1" applyAlignment="1">
      <alignment vertical="center" wrapText="1"/>
    </xf>
    <xf numFmtId="3" fontId="115" fillId="34" borderId="0" xfId="0" applyNumberFormat="1" applyFont="1" applyFill="1" applyAlignment="1">
      <alignment vertical="center"/>
    </xf>
    <xf numFmtId="0" fontId="116" fillId="0" borderId="0" xfId="0" applyFont="1"/>
    <xf numFmtId="3" fontId="116" fillId="0" borderId="0" xfId="0" applyNumberFormat="1" applyFont="1"/>
    <xf numFmtId="4" fontId="116" fillId="34" borderId="0" xfId="0" applyNumberFormat="1" applyFont="1" applyFill="1" applyAlignment="1">
      <alignment horizontal="center" vertical="center"/>
    </xf>
    <xf numFmtId="0" fontId="116" fillId="34" borderId="0" xfId="0" applyFont="1" applyFill="1" applyAlignment="1">
      <alignment horizontal="center" vertical="center" wrapText="1"/>
    </xf>
    <xf numFmtId="0" fontId="134" fillId="50" borderId="39" xfId="0" applyFont="1" applyFill="1" applyBorder="1" applyAlignment="1">
      <alignment vertical="center" wrapText="1"/>
    </xf>
    <xf numFmtId="0" fontId="116" fillId="0" borderId="0" xfId="0" applyFont="1" applyAlignment="1">
      <alignment horizontal="center" vertical="center" wrapText="1"/>
    </xf>
    <xf numFmtId="0" fontId="116" fillId="48" borderId="47" xfId="0" applyFont="1" applyFill="1" applyBorder="1" applyAlignment="1">
      <alignment horizontal="center" vertical="center" wrapText="1"/>
    </xf>
    <xf numFmtId="0" fontId="116" fillId="0" borderId="43" xfId="0" applyFont="1" applyBorder="1" applyAlignment="1">
      <alignment horizontal="left" vertical="center"/>
    </xf>
    <xf numFmtId="0" fontId="116" fillId="34" borderId="44" xfId="0" applyFont="1" applyFill="1" applyBorder="1" applyAlignment="1">
      <alignment horizontal="center" vertical="center" wrapText="1"/>
    </xf>
    <xf numFmtId="0" fontId="116" fillId="0" borderId="44" xfId="0" applyFont="1" applyBorder="1" applyAlignment="1">
      <alignment horizontal="center" vertical="center" wrapText="1"/>
    </xf>
    <xf numFmtId="4" fontId="116" fillId="0" borderId="0" xfId="0" applyNumberFormat="1" applyFont="1" applyAlignment="1">
      <alignment horizontal="center" vertical="center"/>
    </xf>
    <xf numFmtId="4" fontId="116" fillId="48" borderId="47" xfId="0" applyNumberFormat="1" applyFont="1" applyFill="1" applyBorder="1" applyAlignment="1">
      <alignment horizontal="center" vertical="center"/>
    </xf>
    <xf numFmtId="0" fontId="116" fillId="34" borderId="43" xfId="0" applyFont="1" applyFill="1" applyBorder="1" applyAlignment="1">
      <alignment horizontal="left" vertical="center" wrapText="1"/>
    </xf>
    <xf numFmtId="199" fontId="116" fillId="34" borderId="44" xfId="0" applyNumberFormat="1" applyFont="1" applyFill="1" applyBorder="1" applyAlignment="1">
      <alignment horizontal="center" vertical="center"/>
    </xf>
    <xf numFmtId="199" fontId="116" fillId="0" borderId="44" xfId="0" applyNumberFormat="1" applyFont="1" applyBorder="1" applyAlignment="1">
      <alignment horizontal="center" vertical="center"/>
    </xf>
    <xf numFmtId="199" fontId="116" fillId="48" borderId="51" xfId="0" applyNumberFormat="1" applyFont="1" applyFill="1" applyBorder="1" applyAlignment="1">
      <alignment horizontal="center" vertical="center"/>
    </xf>
    <xf numFmtId="0" fontId="116" fillId="0" borderId="41" xfId="0" applyFont="1" applyBorder="1" applyAlignment="1">
      <alignment vertical="center" wrapText="1"/>
    </xf>
    <xf numFmtId="0" fontId="116" fillId="0" borderId="43" xfId="0" applyFont="1" applyBorder="1" applyAlignment="1">
      <alignment vertical="center" wrapText="1"/>
    </xf>
    <xf numFmtId="3" fontId="116" fillId="34" borderId="44" xfId="0" applyNumberFormat="1" applyFont="1" applyFill="1" applyBorder="1" applyAlignment="1">
      <alignment horizontal="center" vertical="center"/>
    </xf>
    <xf numFmtId="3" fontId="116" fillId="0" borderId="44" xfId="0" applyNumberFormat="1" applyFont="1" applyBorder="1" applyAlignment="1">
      <alignment horizontal="center" vertical="center"/>
    </xf>
    <xf numFmtId="3" fontId="116" fillId="48" borderId="51" xfId="0" applyNumberFormat="1" applyFont="1" applyFill="1" applyBorder="1" applyAlignment="1">
      <alignment horizontal="center" vertical="center"/>
    </xf>
    <xf numFmtId="0" fontId="126" fillId="0" borderId="41" xfId="0" applyFont="1" applyBorder="1" applyAlignment="1">
      <alignment horizontal="left" vertical="center" indent="2"/>
    </xf>
    <xf numFmtId="3" fontId="116" fillId="0" borderId="0" xfId="0" applyNumberFormat="1" applyFont="1" applyAlignment="1">
      <alignment horizontal="center" vertical="center" wrapText="1"/>
    </xf>
    <xf numFmtId="3" fontId="116" fillId="48" borderId="47" xfId="0" applyNumberFormat="1" applyFont="1" applyFill="1" applyBorder="1" applyAlignment="1">
      <alignment horizontal="center" vertical="center" wrapText="1"/>
    </xf>
    <xf numFmtId="3" fontId="116" fillId="34" borderId="44" xfId="0" applyNumberFormat="1" applyFont="1" applyFill="1" applyBorder="1" applyAlignment="1">
      <alignment horizontal="center" vertical="center" wrapText="1"/>
    </xf>
    <xf numFmtId="3" fontId="116" fillId="0" borderId="44" xfId="0" applyNumberFormat="1" applyFont="1" applyBorder="1" applyAlignment="1">
      <alignment horizontal="center" vertical="center" wrapText="1"/>
    </xf>
    <xf numFmtId="3" fontId="116" fillId="48" borderId="51" xfId="0" applyNumberFormat="1" applyFont="1" applyFill="1" applyBorder="1" applyAlignment="1">
      <alignment horizontal="center" vertical="center" wrapText="1"/>
    </xf>
    <xf numFmtId="0" fontId="126" fillId="0" borderId="107" xfId="0" applyFont="1" applyBorder="1" applyAlignment="1">
      <alignment horizontal="left" vertical="center"/>
    </xf>
    <xf numFmtId="3" fontId="126" fillId="34" borderId="108" xfId="0" applyNumberFormat="1" applyFont="1" applyFill="1" applyBorder="1" applyAlignment="1">
      <alignment horizontal="center" vertical="center"/>
    </xf>
    <xf numFmtId="3" fontId="126" fillId="0" borderId="108" xfId="0" applyNumberFormat="1" applyFont="1" applyBorder="1" applyAlignment="1">
      <alignment horizontal="center" vertical="center"/>
    </xf>
    <xf numFmtId="0" fontId="116" fillId="0" borderId="111" xfId="0" applyFont="1" applyBorder="1" applyAlignment="1">
      <alignment horizontal="left" vertical="center" indent="4"/>
    </xf>
    <xf numFmtId="3" fontId="116" fillId="34" borderId="112" xfId="0" applyNumberFormat="1" applyFont="1" applyFill="1" applyBorder="1" applyAlignment="1">
      <alignment horizontal="center" vertical="center"/>
    </xf>
    <xf numFmtId="3" fontId="116" fillId="0" borderId="112" xfId="0" applyNumberFormat="1" applyFont="1" applyBorder="1" applyAlignment="1">
      <alignment horizontal="center" vertical="center"/>
    </xf>
    <xf numFmtId="3" fontId="116" fillId="48" borderId="114" xfId="0" applyNumberFormat="1" applyFont="1" applyFill="1" applyBorder="1" applyAlignment="1">
      <alignment horizontal="center" vertical="center"/>
    </xf>
    <xf numFmtId="0" fontId="160" fillId="0" borderId="43" xfId="0" applyFont="1" applyBorder="1" applyAlignment="1">
      <alignment horizontal="left" vertical="center" indent="2"/>
    </xf>
    <xf numFmtId="0" fontId="160" fillId="0" borderId="41" xfId="0" applyFont="1" applyBorder="1" applyAlignment="1">
      <alignment horizontal="left" vertical="center" indent="2"/>
    </xf>
    <xf numFmtId="0" fontId="126" fillId="0" borderId="43" xfId="0" applyFont="1" applyBorder="1" applyAlignment="1">
      <alignment horizontal="left" vertical="center" indent="2"/>
    </xf>
    <xf numFmtId="0" fontId="126" fillId="0" borderId="103" xfId="0" applyFont="1" applyBorder="1" applyAlignment="1">
      <alignment horizontal="left" vertical="center" indent="2"/>
    </xf>
    <xf numFmtId="3" fontId="126" fillId="34" borderId="104" xfId="0" applyNumberFormat="1" applyFont="1" applyFill="1" applyBorder="1" applyAlignment="1">
      <alignment horizontal="center" vertical="center"/>
    </xf>
    <xf numFmtId="3" fontId="116" fillId="51" borderId="14" xfId="0" applyNumberFormat="1" applyFont="1" applyFill="1" applyBorder="1" applyAlignment="1">
      <alignment horizontal="center" vertical="center"/>
    </xf>
    <xf numFmtId="3" fontId="126" fillId="51" borderId="29" xfId="0" applyNumberFormat="1" applyFont="1" applyFill="1" applyBorder="1" applyAlignment="1">
      <alignment horizontal="center" vertical="center"/>
    </xf>
    <xf numFmtId="1" fontId="116" fillId="51" borderId="14" xfId="0" applyNumberFormat="1" applyFont="1" applyFill="1" applyBorder="1" applyAlignment="1">
      <alignment horizontal="center" vertical="center"/>
    </xf>
    <xf numFmtId="1" fontId="116" fillId="51" borderId="29" xfId="0" applyNumberFormat="1" applyFont="1" applyFill="1" applyBorder="1" applyAlignment="1">
      <alignment horizontal="center" vertical="center"/>
    </xf>
    <xf numFmtId="169" fontId="126" fillId="51" borderId="14" xfId="132" applyNumberFormat="1" applyFont="1" applyFill="1" applyBorder="1" applyAlignment="1">
      <alignment horizontal="center" vertical="center"/>
    </xf>
    <xf numFmtId="9" fontId="126" fillId="51" borderId="14" xfId="132" applyFont="1" applyFill="1" applyBorder="1" applyAlignment="1">
      <alignment horizontal="center" vertical="center"/>
    </xf>
    <xf numFmtId="169" fontId="126" fillId="51" borderId="15" xfId="132" applyNumberFormat="1" applyFont="1" applyFill="1" applyBorder="1" applyAlignment="1">
      <alignment horizontal="center" vertical="center"/>
    </xf>
    <xf numFmtId="3" fontId="126" fillId="48" borderId="110" xfId="0" applyNumberFormat="1" applyFont="1" applyFill="1" applyBorder="1" applyAlignment="1">
      <alignment horizontal="center" vertical="center"/>
    </xf>
    <xf numFmtId="3" fontId="50" fillId="0" borderId="0" xfId="0" applyNumberFormat="1" applyFont="1" applyAlignment="1">
      <alignment vertical="center"/>
    </xf>
    <xf numFmtId="9" fontId="166" fillId="0" borderId="41" xfId="132" applyFont="1" applyFill="1" applyBorder="1" applyAlignment="1">
      <alignment horizontal="center" vertical="center"/>
    </xf>
    <xf numFmtId="0" fontId="126" fillId="0" borderId="0" xfId="0" applyFont="1" applyAlignment="1">
      <alignment horizontal="left" vertical="center" wrapText="1"/>
    </xf>
    <xf numFmtId="0" fontId="126" fillId="0" borderId="117" xfId="0" applyFont="1" applyBorder="1" applyAlignment="1">
      <alignment horizontal="left" vertical="center" wrapText="1"/>
    </xf>
    <xf numFmtId="3" fontId="126" fillId="34" borderId="118" xfId="0" applyNumberFormat="1" applyFont="1" applyFill="1" applyBorder="1" applyAlignment="1">
      <alignment horizontal="center" vertical="center"/>
    </xf>
    <xf numFmtId="3" fontId="126" fillId="48" borderId="120" xfId="0" applyNumberFormat="1" applyFont="1" applyFill="1" applyBorder="1" applyAlignment="1">
      <alignment horizontal="center" vertical="center"/>
    </xf>
    <xf numFmtId="1" fontId="126" fillId="53" borderId="106" xfId="0" applyNumberFormat="1" applyFont="1" applyFill="1" applyBorder="1" applyAlignment="1">
      <alignment horizontal="center" vertical="center" wrapText="1"/>
    </xf>
    <xf numFmtId="0" fontId="167" fillId="50" borderId="103" xfId="0" applyFont="1" applyFill="1" applyBorder="1" applyAlignment="1">
      <alignment horizontal="left" vertical="center" wrapText="1"/>
    </xf>
    <xf numFmtId="0" fontId="143" fillId="50" borderId="107" xfId="0" applyFont="1" applyFill="1" applyBorder="1" applyAlignment="1">
      <alignment horizontal="left" vertical="center" wrapText="1"/>
    </xf>
    <xf numFmtId="10" fontId="126" fillId="50" borderId="108" xfId="132" applyNumberFormat="1" applyFont="1" applyFill="1" applyBorder="1" applyAlignment="1">
      <alignment horizontal="center" vertical="center" wrapText="1"/>
    </xf>
    <xf numFmtId="10" fontId="126" fillId="50" borderId="109" xfId="132" applyNumberFormat="1" applyFont="1" applyFill="1" applyBorder="1" applyAlignment="1">
      <alignment horizontal="center" vertical="center" wrapText="1"/>
    </xf>
    <xf numFmtId="10" fontId="126" fillId="50" borderId="110" xfId="132" applyNumberFormat="1" applyFont="1" applyFill="1" applyBorder="1" applyAlignment="1">
      <alignment horizontal="center" vertical="center" wrapText="1"/>
    </xf>
    <xf numFmtId="0" fontId="143" fillId="50" borderId="111" xfId="0" applyFont="1" applyFill="1" applyBorder="1" applyAlignment="1">
      <alignment horizontal="left" vertical="center" wrapText="1"/>
    </xf>
    <xf numFmtId="10" fontId="126" fillId="50" borderId="112" xfId="132" applyNumberFormat="1" applyFont="1" applyFill="1" applyBorder="1" applyAlignment="1">
      <alignment horizontal="center" vertical="center" wrapText="1"/>
    </xf>
    <xf numFmtId="0" fontId="143" fillId="50" borderId="121" xfId="0" applyFont="1" applyFill="1" applyBorder="1" applyAlignment="1">
      <alignment horizontal="left" vertical="center" wrapText="1"/>
    </xf>
    <xf numFmtId="10" fontId="126" fillId="50" borderId="122" xfId="132" applyNumberFormat="1" applyFont="1" applyFill="1" applyBorder="1" applyAlignment="1">
      <alignment horizontal="center" vertical="center" wrapText="1"/>
    </xf>
    <xf numFmtId="10" fontId="126" fillId="50" borderId="123" xfId="132" applyNumberFormat="1" applyFont="1" applyFill="1" applyBorder="1" applyAlignment="1">
      <alignment horizontal="center" vertical="center" wrapText="1"/>
    </xf>
    <xf numFmtId="10" fontId="126" fillId="50" borderId="124" xfId="132" applyNumberFormat="1" applyFont="1" applyFill="1" applyBorder="1" applyAlignment="1">
      <alignment horizontal="center" vertical="center" wrapText="1"/>
    </xf>
    <xf numFmtId="0" fontId="167" fillId="50" borderId="125" xfId="0" applyFont="1" applyFill="1" applyBorder="1" applyAlignment="1">
      <alignment horizontal="left" vertical="center" wrapText="1"/>
    </xf>
    <xf numFmtId="0" fontId="143" fillId="50" borderId="41" xfId="0" applyFont="1" applyFill="1" applyBorder="1" applyAlignment="1">
      <alignment horizontal="left" vertical="center" wrapText="1"/>
    </xf>
    <xf numFmtId="10" fontId="126" fillId="50" borderId="0" xfId="132" applyNumberFormat="1" applyFont="1" applyFill="1" applyBorder="1" applyAlignment="1">
      <alignment horizontal="center" vertical="center" wrapText="1"/>
    </xf>
    <xf numFmtId="10" fontId="126" fillId="50" borderId="50" xfId="132" applyNumberFormat="1" applyFont="1" applyFill="1" applyBorder="1" applyAlignment="1">
      <alignment horizontal="center" vertical="center" wrapText="1"/>
    </xf>
    <xf numFmtId="10" fontId="126" fillId="50" borderId="47" xfId="132" applyNumberFormat="1" applyFont="1" applyFill="1" applyBorder="1" applyAlignment="1">
      <alignment horizontal="center" vertical="center" wrapText="1"/>
    </xf>
    <xf numFmtId="10" fontId="116" fillId="50" borderId="104" xfId="132" applyNumberFormat="1" applyFont="1" applyFill="1" applyBorder="1" applyAlignment="1">
      <alignment horizontal="center" vertical="center" wrapText="1"/>
    </xf>
    <xf numFmtId="10" fontId="116" fillId="50" borderId="105" xfId="132" applyNumberFormat="1" applyFont="1" applyFill="1" applyBorder="1" applyAlignment="1">
      <alignment horizontal="center" vertical="center" wrapText="1"/>
    </xf>
    <xf numFmtId="10" fontId="116" fillId="50" borderId="106" xfId="132" applyNumberFormat="1" applyFont="1" applyFill="1" applyBorder="1" applyAlignment="1">
      <alignment horizontal="center" vertical="center" wrapText="1"/>
    </xf>
    <xf numFmtId="10" fontId="116" fillId="50" borderId="126" xfId="132" applyNumberFormat="1" applyFont="1" applyFill="1" applyBorder="1" applyAlignment="1">
      <alignment horizontal="center" vertical="center" wrapText="1"/>
    </xf>
    <xf numFmtId="10" fontId="116" fillId="50" borderId="127" xfId="132" applyNumberFormat="1" applyFont="1" applyFill="1" applyBorder="1" applyAlignment="1">
      <alignment horizontal="center" vertical="center" wrapText="1"/>
    </xf>
    <xf numFmtId="10" fontId="116" fillId="50" borderId="128" xfId="132" applyNumberFormat="1" applyFont="1" applyFill="1" applyBorder="1" applyAlignment="1">
      <alignment horizontal="center" vertical="center" wrapText="1"/>
    </xf>
    <xf numFmtId="2" fontId="46" fillId="0" borderId="0" xfId="186" applyNumberFormat="1" applyFont="1"/>
    <xf numFmtId="9" fontId="46" fillId="0" borderId="0" xfId="132" applyFont="1"/>
    <xf numFmtId="9" fontId="46" fillId="0" borderId="0" xfId="186" applyNumberFormat="1" applyFont="1"/>
    <xf numFmtId="3" fontId="126" fillId="48" borderId="0" xfId="186" applyNumberFormat="1" applyFont="1" applyFill="1" applyAlignment="1">
      <alignment horizontal="center"/>
    </xf>
    <xf numFmtId="10" fontId="46" fillId="0" borderId="0" xfId="0" applyNumberFormat="1" applyFont="1" applyAlignment="1">
      <alignment vertical="center"/>
    </xf>
    <xf numFmtId="0" fontId="116" fillId="0" borderId="0" xfId="0" applyFont="1" applyAlignment="1">
      <alignment horizontal="left" wrapText="1"/>
    </xf>
    <xf numFmtId="3" fontId="65" fillId="0" borderId="0" xfId="186" applyNumberFormat="1" applyFont="1"/>
    <xf numFmtId="2" fontId="126" fillId="48" borderId="63" xfId="0" applyNumberFormat="1" applyFont="1" applyFill="1" applyBorder="1" applyAlignment="1">
      <alignment horizontal="center" vertical="center"/>
    </xf>
    <xf numFmtId="9" fontId="115" fillId="34" borderId="0" xfId="132" applyFont="1" applyFill="1" applyAlignment="1">
      <alignment horizontal="left" vertical="center"/>
    </xf>
    <xf numFmtId="0" fontId="115" fillId="0" borderId="0" xfId="186" applyFont="1"/>
    <xf numFmtId="169" fontId="126" fillId="0" borderId="50" xfId="132" applyNumberFormat="1" applyFont="1" applyFill="1" applyBorder="1" applyAlignment="1">
      <alignment horizontal="center" vertical="center"/>
    </xf>
    <xf numFmtId="10" fontId="126" fillId="0" borderId="50" xfId="187" applyNumberFormat="1" applyFont="1" applyFill="1" applyBorder="1" applyAlignment="1">
      <alignment horizontal="center" vertical="center"/>
    </xf>
    <xf numFmtId="9" fontId="126" fillId="0" borderId="50" xfId="187" applyNumberFormat="1" applyFont="1" applyFill="1" applyBorder="1" applyAlignment="1">
      <alignment horizontal="center" vertical="center"/>
    </xf>
    <xf numFmtId="169" fontId="126" fillId="0" borderId="50" xfId="187" applyNumberFormat="1" applyFont="1" applyFill="1" applyBorder="1" applyAlignment="1">
      <alignment horizontal="center" vertical="center"/>
    </xf>
    <xf numFmtId="9" fontId="126" fillId="0" borderId="50" xfId="132" applyFont="1" applyFill="1" applyBorder="1" applyAlignment="1">
      <alignment horizontal="center" vertical="center"/>
    </xf>
    <xf numFmtId="10" fontId="126" fillId="0" borderId="59" xfId="132" applyNumberFormat="1" applyFont="1" applyFill="1" applyBorder="1" applyAlignment="1">
      <alignment horizontal="center" vertical="center"/>
    </xf>
    <xf numFmtId="10" fontId="126" fillId="0" borderId="50" xfId="132" applyNumberFormat="1" applyFont="1" applyFill="1" applyBorder="1" applyAlignment="1">
      <alignment horizontal="center" vertical="center"/>
    </xf>
    <xf numFmtId="169" fontId="126" fillId="0" borderId="52" xfId="132" applyNumberFormat="1" applyFont="1" applyFill="1" applyBorder="1" applyAlignment="1">
      <alignment horizontal="center" vertical="center"/>
    </xf>
    <xf numFmtId="3" fontId="116" fillId="51" borderId="30" xfId="0" applyNumberFormat="1" applyFont="1" applyFill="1" applyBorder="1" applyAlignment="1">
      <alignment horizontal="center" vertical="center"/>
    </xf>
    <xf numFmtId="0" fontId="116" fillId="51" borderId="30" xfId="0" applyFont="1" applyFill="1" applyBorder="1" applyAlignment="1">
      <alignment horizontal="center" vertical="center"/>
    </xf>
    <xf numFmtId="3" fontId="116" fillId="0" borderId="31" xfId="67" applyNumberFormat="1" applyFont="1" applyBorder="1" applyAlignment="1">
      <alignment horizontal="center" vertical="center"/>
    </xf>
    <xf numFmtId="169" fontId="126" fillId="0" borderId="52" xfId="132" applyNumberFormat="1" applyFont="1" applyFill="1" applyBorder="1" applyAlignment="1">
      <alignment horizontal="center"/>
    </xf>
    <xf numFmtId="169" fontId="126" fillId="0" borderId="50" xfId="132" applyNumberFormat="1" applyFont="1" applyFill="1" applyBorder="1" applyAlignment="1">
      <alignment horizontal="center"/>
    </xf>
    <xf numFmtId="169" fontId="116" fillId="0" borderId="50" xfId="132" applyNumberFormat="1" applyFont="1" applyFill="1" applyBorder="1" applyAlignment="1">
      <alignment horizontal="center"/>
    </xf>
    <xf numFmtId="194" fontId="126" fillId="0" borderId="52" xfId="353" applyNumberFormat="1" applyFont="1" applyFill="1" applyBorder="1" applyAlignment="1">
      <alignment horizontal="center"/>
    </xf>
    <xf numFmtId="3" fontId="164" fillId="0" borderId="36" xfId="186" applyNumberFormat="1" applyFont="1" applyBorder="1" applyAlignment="1">
      <alignment horizontal="center" vertical="center"/>
    </xf>
    <xf numFmtId="14" fontId="164" fillId="0" borderId="36" xfId="186" applyNumberFormat="1" applyFont="1" applyBorder="1" applyAlignment="1">
      <alignment horizontal="center" vertical="center"/>
    </xf>
    <xf numFmtId="3" fontId="164" fillId="0" borderId="115" xfId="186" applyNumberFormat="1" applyFont="1" applyBorder="1" applyAlignment="1">
      <alignment horizontal="center" vertical="center"/>
    </xf>
    <xf numFmtId="3" fontId="164" fillId="0" borderId="37" xfId="186" applyNumberFormat="1" applyFont="1" applyBorder="1" applyAlignment="1">
      <alignment horizontal="center" vertical="center"/>
    </xf>
    <xf numFmtId="3" fontId="164" fillId="0" borderId="116" xfId="186" applyNumberFormat="1" applyFont="1" applyBorder="1" applyAlignment="1">
      <alignment horizontal="center" vertical="center"/>
    </xf>
    <xf numFmtId="0" fontId="164" fillId="0" borderId="0" xfId="186" applyFont="1" applyAlignment="1">
      <alignment horizontal="center" vertical="center"/>
    </xf>
    <xf numFmtId="3" fontId="164" fillId="0" borderId="0" xfId="186" applyNumberFormat="1" applyFont="1" applyAlignment="1">
      <alignment horizontal="center" vertical="center"/>
    </xf>
    <xf numFmtId="0" fontId="164" fillId="0" borderId="47" xfId="186" applyFont="1" applyBorder="1" applyAlignment="1">
      <alignment horizontal="center" vertical="center"/>
    </xf>
    <xf numFmtId="3" fontId="164" fillId="0" borderId="129" xfId="186" applyNumberFormat="1" applyFont="1" applyBorder="1" applyAlignment="1">
      <alignment horizontal="center" vertical="center"/>
    </xf>
    <xf numFmtId="3" fontId="164" fillId="0" borderId="130" xfId="186" applyNumberFormat="1" applyFont="1" applyBorder="1" applyAlignment="1">
      <alignment horizontal="center" vertical="center"/>
    </xf>
    <xf numFmtId="15" fontId="164" fillId="0" borderId="0" xfId="186" applyNumberFormat="1" applyFont="1" applyAlignment="1">
      <alignment horizontal="center" vertical="center"/>
    </xf>
    <xf numFmtId="3" fontId="164" fillId="0" borderId="100" xfId="186" applyNumberFormat="1" applyFont="1" applyBorder="1" applyAlignment="1">
      <alignment horizontal="center" vertical="center"/>
    </xf>
    <xf numFmtId="0" fontId="164" fillId="0" borderId="100" xfId="186" applyFont="1" applyBorder="1" applyAlignment="1">
      <alignment horizontal="center" vertical="center"/>
    </xf>
    <xf numFmtId="0" fontId="164" fillId="0" borderId="102" xfId="186" applyFont="1" applyBorder="1" applyAlignment="1">
      <alignment horizontal="center" vertical="center"/>
    </xf>
    <xf numFmtId="15" fontId="164" fillId="0" borderId="37" xfId="186" applyNumberFormat="1" applyFont="1" applyBorder="1" applyAlignment="1">
      <alignment horizontal="center" vertical="center"/>
    </xf>
    <xf numFmtId="3" fontId="164" fillId="0" borderId="131" xfId="186" applyNumberFormat="1" applyFont="1" applyBorder="1" applyAlignment="1">
      <alignment horizontal="center" vertical="center"/>
    </xf>
    <xf numFmtId="3" fontId="164" fillId="0" borderId="47" xfId="186" applyNumberFormat="1" applyFont="1" applyBorder="1" applyAlignment="1">
      <alignment horizontal="center" vertical="center"/>
    </xf>
    <xf numFmtId="3" fontId="164" fillId="0" borderId="104" xfId="186" applyNumberFormat="1" applyFont="1" applyBorder="1" applyAlignment="1">
      <alignment horizontal="center"/>
    </xf>
    <xf numFmtId="3" fontId="164" fillId="0" borderId="106" xfId="186" applyNumberFormat="1" applyFont="1" applyBorder="1" applyAlignment="1">
      <alignment horizontal="center"/>
    </xf>
    <xf numFmtId="3" fontId="160" fillId="0" borderId="104" xfId="186" applyNumberFormat="1" applyFont="1" applyBorder="1" applyAlignment="1">
      <alignment horizontal="center"/>
    </xf>
    <xf numFmtId="3" fontId="160" fillId="0" borderId="106" xfId="186" applyNumberFormat="1" applyFont="1" applyBorder="1" applyAlignment="1">
      <alignment horizontal="center"/>
    </xf>
    <xf numFmtId="2" fontId="144" fillId="49" borderId="132" xfId="0" applyNumberFormat="1" applyFont="1" applyFill="1" applyBorder="1" applyAlignment="1">
      <alignment horizontal="center" vertical="center" wrapText="1"/>
    </xf>
    <xf numFmtId="3" fontId="116" fillId="51" borderId="133" xfId="67" applyNumberFormat="1" applyFont="1" applyFill="1" applyBorder="1" applyAlignment="1">
      <alignment horizontal="center" vertical="center"/>
    </xf>
    <xf numFmtId="3" fontId="116" fillId="51" borderId="134" xfId="67" applyNumberFormat="1" applyFont="1" applyFill="1" applyBorder="1" applyAlignment="1">
      <alignment horizontal="center" vertical="center"/>
    </xf>
    <xf numFmtId="3" fontId="135" fillId="51" borderId="31" xfId="67" applyNumberFormat="1" applyFont="1" applyFill="1" applyBorder="1" applyAlignment="1">
      <alignment horizontal="center" vertical="center"/>
    </xf>
    <xf numFmtId="3" fontId="135" fillId="51" borderId="133" xfId="67" applyNumberFormat="1" applyFont="1" applyFill="1" applyBorder="1" applyAlignment="1">
      <alignment horizontal="center" vertical="center"/>
    </xf>
    <xf numFmtId="3" fontId="135" fillId="51" borderId="134" xfId="67" applyNumberFormat="1" applyFont="1" applyFill="1" applyBorder="1" applyAlignment="1">
      <alignment horizontal="center" vertical="center"/>
    </xf>
    <xf numFmtId="1" fontId="116" fillId="51" borderId="30" xfId="0" applyNumberFormat="1" applyFont="1" applyFill="1" applyBorder="1" applyAlignment="1">
      <alignment horizontal="center" vertical="center"/>
    </xf>
    <xf numFmtId="1" fontId="116" fillId="51" borderId="133" xfId="0" applyNumberFormat="1" applyFont="1" applyFill="1" applyBorder="1" applyAlignment="1">
      <alignment horizontal="center" vertical="center"/>
    </xf>
    <xf numFmtId="9" fontId="47" fillId="0" borderId="0" xfId="132" applyFont="1" applyAlignment="1">
      <alignment vertical="center"/>
    </xf>
    <xf numFmtId="0" fontId="116" fillId="48" borderId="51" xfId="0" applyFont="1" applyFill="1" applyBorder="1" applyAlignment="1">
      <alignment horizontal="center" vertical="center" wrapText="1"/>
    </xf>
    <xf numFmtId="169" fontId="121" fillId="0" borderId="0" xfId="0" applyNumberFormat="1" applyFont="1" applyAlignment="1">
      <alignment vertical="center"/>
    </xf>
    <xf numFmtId="3" fontId="47"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10" fillId="0" borderId="0" xfId="132" applyFont="1"/>
    <xf numFmtId="169" fontId="110" fillId="0" borderId="0" xfId="132" applyNumberFormat="1" applyFont="1"/>
    <xf numFmtId="0" fontId="126" fillId="56" borderId="104" xfId="0" applyFont="1" applyFill="1" applyBorder="1" applyAlignment="1">
      <alignment horizontal="left" vertical="center" wrapText="1"/>
    </xf>
    <xf numFmtId="0" fontId="126" fillId="56" borderId="106" xfId="0" applyFont="1" applyFill="1" applyBorder="1" applyAlignment="1">
      <alignment horizontal="left" vertical="center" wrapText="1"/>
    </xf>
    <xf numFmtId="0" fontId="134" fillId="56" borderId="103" xfId="0" applyFont="1" applyFill="1" applyBorder="1" applyAlignment="1">
      <alignment horizontal="left" vertical="center" wrapText="1"/>
    </xf>
    <xf numFmtId="0" fontId="134" fillId="56" borderId="104" xfId="0" applyFont="1" applyFill="1" applyBorder="1" applyAlignment="1">
      <alignment horizontal="left" vertical="center" wrapText="1"/>
    </xf>
    <xf numFmtId="0" fontId="134" fillId="56" borderId="106" xfId="0" applyFont="1" applyFill="1" applyBorder="1" applyAlignment="1">
      <alignment horizontal="left" vertical="center" wrapText="1"/>
    </xf>
    <xf numFmtId="0" fontId="164" fillId="51" borderId="135" xfId="186" applyFont="1" applyFill="1" applyBorder="1" applyAlignment="1">
      <alignment horizontal="center" vertical="center" wrapText="1"/>
    </xf>
    <xf numFmtId="0" fontId="164" fillId="51" borderId="136" xfId="186" applyFont="1" applyFill="1" applyBorder="1" applyAlignment="1">
      <alignment horizontal="center" vertical="center" wrapText="1"/>
    </xf>
    <xf numFmtId="0" fontId="164" fillId="51" borderId="41" xfId="186" applyFont="1" applyFill="1" applyBorder="1" applyAlignment="1">
      <alignment horizontal="center" vertical="center" wrapText="1"/>
    </xf>
    <xf numFmtId="0" fontId="164" fillId="51" borderId="137" xfId="186" applyFont="1" applyFill="1" applyBorder="1" applyAlignment="1">
      <alignment horizontal="center" vertical="center" wrapText="1"/>
    </xf>
    <xf numFmtId="0" fontId="164" fillId="51" borderId="103" xfId="186" applyFont="1" applyFill="1" applyBorder="1" applyAlignment="1">
      <alignment horizontal="center" vertical="center" wrapText="1"/>
    </xf>
    <xf numFmtId="3" fontId="164" fillId="55" borderId="99" xfId="186" applyNumberFormat="1" applyFont="1" applyFill="1" applyBorder="1" applyAlignment="1">
      <alignment horizontal="center" vertical="center" wrapText="1"/>
    </xf>
    <xf numFmtId="0" fontId="164" fillId="0" borderId="103" xfId="186" applyFont="1" applyBorder="1" applyAlignment="1">
      <alignment horizontal="left" vertical="center" wrapText="1"/>
    </xf>
    <xf numFmtId="0" fontId="160" fillId="0" borderId="103" xfId="186" applyFont="1" applyBorder="1" applyAlignment="1">
      <alignment horizontal="center" vertical="center" wrapText="1"/>
    </xf>
    <xf numFmtId="3" fontId="167" fillId="47" borderId="0" xfId="67" applyNumberFormat="1" applyFont="1" applyFill="1" applyAlignment="1">
      <alignment horizontal="center" vertical="center"/>
    </xf>
    <xf numFmtId="3" fontId="126" fillId="0" borderId="50" xfId="0" applyNumberFormat="1" applyFont="1" applyBorder="1" applyAlignment="1">
      <alignment horizontal="center" vertical="center"/>
    </xf>
    <xf numFmtId="3" fontId="126" fillId="0" borderId="52" xfId="0" applyNumberFormat="1" applyFont="1" applyBorder="1" applyAlignment="1">
      <alignment horizontal="center" vertical="center"/>
    </xf>
    <xf numFmtId="3" fontId="116" fillId="0" borderId="50" xfId="0" applyNumberFormat="1" applyFont="1" applyBorder="1" applyAlignment="1">
      <alignment horizontal="center" vertical="center" wrapText="1"/>
    </xf>
    <xf numFmtId="3" fontId="116" fillId="0" borderId="52" xfId="0" applyNumberFormat="1" applyFont="1" applyBorder="1" applyAlignment="1">
      <alignment horizontal="center" vertical="center" wrapText="1"/>
    </xf>
    <xf numFmtId="3" fontId="126" fillId="0" borderId="109" xfId="0" applyNumberFormat="1" applyFont="1" applyBorder="1" applyAlignment="1">
      <alignment horizontal="center" vertical="center"/>
    </xf>
    <xf numFmtId="3" fontId="116" fillId="0" borderId="50" xfId="0" applyNumberFormat="1" applyFont="1" applyBorder="1" applyAlignment="1">
      <alignment horizontal="center" vertical="center"/>
    </xf>
    <xf numFmtId="3" fontId="116" fillId="0" borderId="113" xfId="0" applyNumberFormat="1" applyFont="1" applyBorder="1" applyAlignment="1">
      <alignment horizontal="center" vertical="center"/>
    </xf>
    <xf numFmtId="3" fontId="116" fillId="0" borderId="52" xfId="0" applyNumberFormat="1" applyFont="1" applyBorder="1" applyAlignment="1">
      <alignment horizontal="center" vertical="center"/>
    </xf>
    <xf numFmtId="4" fontId="116" fillId="0" borderId="50" xfId="0" applyNumberFormat="1" applyFont="1" applyBorder="1" applyAlignment="1">
      <alignment horizontal="center" vertical="center"/>
    </xf>
    <xf numFmtId="199" fontId="116" fillId="0" borderId="52" xfId="0" applyNumberFormat="1" applyFont="1" applyBorder="1" applyAlignment="1">
      <alignment horizontal="center" vertical="center"/>
    </xf>
    <xf numFmtId="0" fontId="116" fillId="0" borderId="50" xfId="0" applyFont="1" applyBorder="1" applyAlignment="1">
      <alignment horizontal="center" vertical="center" wrapText="1"/>
    </xf>
    <xf numFmtId="0" fontId="116" fillId="0" borderId="52" xfId="0" applyFont="1" applyBorder="1" applyAlignment="1">
      <alignment horizontal="center" vertical="center" wrapText="1"/>
    </xf>
    <xf numFmtId="3" fontId="126" fillId="0" borderId="50" xfId="186" applyNumberFormat="1" applyFont="1" applyBorder="1" applyAlignment="1">
      <alignment horizontal="center"/>
    </xf>
    <xf numFmtId="0" fontId="126" fillId="0" borderId="50" xfId="186" applyFont="1" applyBorder="1" applyAlignment="1">
      <alignment horizontal="center"/>
    </xf>
    <xf numFmtId="3" fontId="116" fillId="0" borderId="50" xfId="186" applyNumberFormat="1" applyFont="1" applyBorder="1" applyAlignment="1">
      <alignment horizontal="center"/>
    </xf>
    <xf numFmtId="3" fontId="116" fillId="0" borderId="52" xfId="186" applyNumberFormat="1" applyFont="1" applyBorder="1" applyAlignment="1">
      <alignment horizontal="center"/>
    </xf>
    <xf numFmtId="3" fontId="116" fillId="0" borderId="50" xfId="67" applyNumberFormat="1" applyFont="1" applyBorder="1" applyAlignment="1">
      <alignment horizontal="center" vertical="center"/>
    </xf>
    <xf numFmtId="1" fontId="116" fillId="0" borderId="50" xfId="0" applyNumberFormat="1" applyFont="1" applyBorder="1" applyAlignment="1">
      <alignment horizontal="center" vertical="center"/>
    </xf>
    <xf numFmtId="1" fontId="116" fillId="0" borderId="105" xfId="0" applyNumberFormat="1" applyFont="1" applyBorder="1" applyAlignment="1">
      <alignment horizontal="center" vertical="center"/>
    </xf>
    <xf numFmtId="1" fontId="116" fillId="0" borderId="109" xfId="0" applyNumberFormat="1" applyFont="1" applyBorder="1" applyAlignment="1">
      <alignment horizontal="center" vertical="center"/>
    </xf>
    <xf numFmtId="1" fontId="116" fillId="0" borderId="113" xfId="0" applyNumberFormat="1" applyFont="1" applyBorder="1" applyAlignment="1">
      <alignment horizontal="center" vertical="center"/>
    </xf>
    <xf numFmtId="1" fontId="116" fillId="0" borderId="105" xfId="0" applyNumberFormat="1" applyFont="1" applyBorder="1" applyAlignment="1">
      <alignment horizontal="center" vertical="center" wrapText="1"/>
    </xf>
    <xf numFmtId="2" fontId="116" fillId="0" borderId="50" xfId="0" applyNumberFormat="1" applyFont="1" applyBorder="1" applyAlignment="1">
      <alignment horizontal="center" vertical="center"/>
    </xf>
    <xf numFmtId="10" fontId="126" fillId="50" borderId="113" xfId="132" applyNumberFormat="1" applyFont="1" applyFill="1" applyBorder="1" applyAlignment="1">
      <alignment horizontal="center" vertical="center" wrapText="1"/>
    </xf>
    <xf numFmtId="3" fontId="151" fillId="0" borderId="50" xfId="0" applyNumberFormat="1" applyFont="1" applyBorder="1" applyAlignment="1">
      <alignment horizontal="center" vertical="center"/>
    </xf>
    <xf numFmtId="3" fontId="126" fillId="0" borderId="118" xfId="0" applyNumberFormat="1" applyFont="1" applyBorder="1" applyAlignment="1">
      <alignment horizontal="center" vertical="center"/>
    </xf>
    <xf numFmtId="3" fontId="126" fillId="0" borderId="50" xfId="67" applyNumberFormat="1" applyFont="1" applyBorder="1" applyAlignment="1">
      <alignment horizontal="center" vertical="center"/>
    </xf>
    <xf numFmtId="9" fontId="126" fillId="0" borderId="50" xfId="0" applyNumberFormat="1" applyFont="1" applyBorder="1" applyAlignment="1">
      <alignment horizontal="center" vertical="center"/>
    </xf>
    <xf numFmtId="9" fontId="116" fillId="0" borderId="50" xfId="0" applyNumberFormat="1" applyFont="1" applyBorder="1" applyAlignment="1">
      <alignment horizontal="center" vertical="center"/>
    </xf>
    <xf numFmtId="9" fontId="145" fillId="0" borderId="52" xfId="0" applyNumberFormat="1" applyFont="1" applyBorder="1" applyAlignment="1">
      <alignment horizontal="center" vertical="center"/>
    </xf>
    <xf numFmtId="3" fontId="126" fillId="0" borderId="119" xfId="0" applyNumberFormat="1" applyFont="1" applyBorder="1" applyAlignment="1">
      <alignment horizontal="center" vertical="center"/>
    </xf>
    <xf numFmtId="3" fontId="126" fillId="0" borderId="52" xfId="67" applyNumberFormat="1" applyFont="1" applyBorder="1" applyAlignment="1">
      <alignment horizontal="center" vertical="center"/>
    </xf>
    <xf numFmtId="3" fontId="116" fillId="0" borderId="50" xfId="0" applyNumberFormat="1" applyFont="1" applyBorder="1" applyAlignment="1">
      <alignment horizontal="center"/>
    </xf>
    <xf numFmtId="3" fontId="126" fillId="0" borderId="50" xfId="0" applyNumberFormat="1" applyFont="1" applyBorder="1" applyAlignment="1">
      <alignment horizontal="center"/>
    </xf>
    <xf numFmtId="3" fontId="135" fillId="0" borderId="31" xfId="67" applyNumberFormat="1" applyFont="1" applyBorder="1" applyAlignment="1">
      <alignment horizontal="center" vertical="center"/>
    </xf>
    <xf numFmtId="1" fontId="116" fillId="0" borderId="30" xfId="0" applyNumberFormat="1" applyFont="1" applyBorder="1" applyAlignment="1">
      <alignment horizontal="center" vertical="center"/>
    </xf>
    <xf numFmtId="0" fontId="116" fillId="0" borderId="30" xfId="0" applyFont="1" applyBorder="1" applyAlignment="1">
      <alignment horizontal="center" vertical="center"/>
    </xf>
    <xf numFmtId="2" fontId="126" fillId="0" borderId="50" xfId="0" applyNumberFormat="1" applyFont="1" applyBorder="1" applyAlignment="1">
      <alignment horizontal="center" vertical="center"/>
    </xf>
    <xf numFmtId="2" fontId="126" fillId="48" borderId="138" xfId="0" applyNumberFormat="1" applyFont="1" applyFill="1" applyBorder="1" applyAlignment="1">
      <alignment horizontal="center" vertical="center"/>
    </xf>
    <xf numFmtId="3" fontId="126" fillId="0" borderId="45" xfId="67" applyNumberFormat="1" applyFont="1" applyBorder="1" applyAlignment="1">
      <alignment horizontal="center" vertical="center"/>
    </xf>
    <xf numFmtId="3" fontId="116" fillId="0" borderId="49" xfId="67" applyNumberFormat="1" applyFont="1" applyBorder="1" applyAlignment="1">
      <alignment horizontal="center" vertical="center"/>
    </xf>
    <xf numFmtId="3" fontId="116" fillId="0" borderId="52" xfId="67" applyNumberFormat="1" applyFont="1" applyBorder="1" applyAlignment="1">
      <alignment horizontal="center" vertical="center"/>
    </xf>
    <xf numFmtId="3" fontId="126" fillId="0" borderId="49" xfId="67" applyNumberFormat="1" applyFont="1" applyBorder="1" applyAlignment="1">
      <alignment horizontal="center" vertical="center"/>
    </xf>
    <xf numFmtId="3" fontId="126" fillId="0" borderId="55" xfId="0" applyNumberFormat="1" applyFont="1" applyBorder="1" applyAlignment="1">
      <alignment horizontal="center" vertical="center"/>
    </xf>
    <xf numFmtId="3" fontId="116" fillId="0" borderId="55" xfId="0" applyNumberFormat="1" applyFont="1" applyBorder="1" applyAlignment="1">
      <alignment horizontal="center" vertical="center"/>
    </xf>
    <xf numFmtId="3" fontId="126" fillId="48" borderId="140" xfId="0" applyNumberFormat="1" applyFont="1" applyFill="1" applyBorder="1" applyAlignment="1">
      <alignment horizontal="center" vertical="center"/>
    </xf>
    <xf numFmtId="9" fontId="126" fillId="48" borderId="140" xfId="132" applyFont="1" applyFill="1" applyBorder="1" applyAlignment="1">
      <alignment horizontal="center" vertical="center"/>
    </xf>
    <xf numFmtId="9" fontId="126" fillId="48" borderId="140" xfId="0" applyNumberFormat="1" applyFont="1" applyFill="1" applyBorder="1" applyAlignment="1">
      <alignment horizontal="center" vertical="center"/>
    </xf>
    <xf numFmtId="9" fontId="116" fillId="48" borderId="140" xfId="0" applyNumberFormat="1" applyFont="1" applyFill="1" applyBorder="1" applyAlignment="1">
      <alignment horizontal="center" vertical="center"/>
    </xf>
    <xf numFmtId="9" fontId="145" fillId="48" borderId="139" xfId="0" applyNumberFormat="1" applyFont="1" applyFill="1" applyBorder="1" applyAlignment="1">
      <alignment horizontal="center" vertical="center"/>
    </xf>
    <xf numFmtId="3" fontId="116" fillId="0" borderId="31" xfId="0" applyNumberFormat="1" applyFont="1" applyBorder="1" applyAlignment="1">
      <alignment horizontal="center" vertical="center"/>
    </xf>
    <xf numFmtId="3" fontId="126" fillId="48" borderId="30" xfId="67" applyNumberFormat="1" applyFont="1" applyFill="1" applyBorder="1" applyAlignment="1">
      <alignment horizontal="center" vertical="center"/>
    </xf>
    <xf numFmtId="203" fontId="116" fillId="49" borderId="47" xfId="0" applyNumberFormat="1" applyFont="1" applyFill="1" applyBorder="1" applyAlignment="1">
      <alignment horizontal="center" vertical="center" wrapText="1"/>
    </xf>
    <xf numFmtId="3" fontId="126" fillId="48" borderId="141" xfId="67" applyNumberFormat="1" applyFont="1" applyFill="1" applyBorder="1" applyAlignment="1">
      <alignment horizontal="center" vertical="center"/>
    </xf>
    <xf numFmtId="0" fontId="126" fillId="48" borderId="71" xfId="0" applyFont="1" applyFill="1" applyBorder="1" applyAlignment="1">
      <alignment horizontal="left" vertical="center" wrapText="1"/>
    </xf>
    <xf numFmtId="0" fontId="149" fillId="52" borderId="111" xfId="0" applyFont="1" applyFill="1" applyBorder="1" applyAlignment="1">
      <alignment horizontal="left" vertical="center" wrapText="1" indent="1"/>
    </xf>
    <xf numFmtId="1" fontId="149" fillId="52" borderId="112" xfId="0" applyNumberFormat="1" applyFont="1" applyFill="1" applyBorder="1" applyAlignment="1">
      <alignment horizontal="center" vertical="center" wrapText="1"/>
    </xf>
    <xf numFmtId="1" fontId="149" fillId="52" borderId="113" xfId="0" applyNumberFormat="1" applyFont="1" applyFill="1" applyBorder="1" applyAlignment="1">
      <alignment horizontal="center" vertical="center" wrapText="1"/>
    </xf>
    <xf numFmtId="1" fontId="149" fillId="52" borderId="114" xfId="0" applyNumberFormat="1" applyFont="1" applyFill="1" applyBorder="1" applyAlignment="1">
      <alignment horizontal="center" vertical="center" wrapText="1"/>
    </xf>
    <xf numFmtId="0" fontId="135" fillId="52" borderId="103" xfId="0" applyFont="1" applyFill="1" applyBorder="1" applyAlignment="1">
      <alignment horizontal="left" vertical="center" wrapText="1" indent="1"/>
    </xf>
    <xf numFmtId="0" fontId="135" fillId="52" borderId="104" xfId="0" applyFont="1" applyFill="1" applyBorder="1" applyAlignment="1">
      <alignment horizontal="center" vertical="center" wrapText="1"/>
    </xf>
    <xf numFmtId="37" fontId="135" fillId="52" borderId="104" xfId="0" applyNumberFormat="1" applyFont="1" applyFill="1" applyBorder="1" applyAlignment="1">
      <alignment horizontal="center" vertical="center" wrapText="1"/>
    </xf>
    <xf numFmtId="37" fontId="135" fillId="52" borderId="105" xfId="0" applyNumberFormat="1" applyFont="1" applyFill="1" applyBorder="1" applyAlignment="1">
      <alignment horizontal="center" vertical="center" wrapText="1"/>
    </xf>
    <xf numFmtId="37" fontId="135" fillId="52" borderId="106" xfId="0" applyNumberFormat="1" applyFont="1" applyFill="1" applyBorder="1" applyAlignment="1">
      <alignment horizontal="center" vertical="center" wrapText="1"/>
    </xf>
    <xf numFmtId="10" fontId="126" fillId="0" borderId="138" xfId="187" applyNumberFormat="1" applyFont="1" applyFill="1" applyBorder="1" applyAlignment="1">
      <alignment horizontal="center" vertical="center"/>
    </xf>
    <xf numFmtId="199" fontId="126" fillId="47" borderId="0" xfId="0" applyNumberFormat="1" applyFont="1" applyFill="1" applyAlignment="1">
      <alignment horizontal="center" vertical="center"/>
    </xf>
    <xf numFmtId="3" fontId="126" fillId="48" borderId="70" xfId="67" applyNumberFormat="1" applyFont="1" applyFill="1" applyBorder="1" applyAlignment="1">
      <alignment horizontal="center" vertical="center"/>
    </xf>
    <xf numFmtId="169" fontId="126" fillId="48" borderId="0" xfId="187" applyNumberFormat="1" applyFont="1" applyFill="1" applyBorder="1" applyAlignment="1">
      <alignment horizontal="center" vertical="center"/>
    </xf>
    <xf numFmtId="169" fontId="126" fillId="48" borderId="47" xfId="187" applyNumberFormat="1" applyFont="1" applyFill="1" applyBorder="1" applyAlignment="1">
      <alignment horizontal="center" vertical="center"/>
    </xf>
    <xf numFmtId="9" fontId="110" fillId="0" borderId="0" xfId="132" applyFont="1" applyBorder="1"/>
    <xf numFmtId="194" fontId="110" fillId="0" borderId="0" xfId="187" applyNumberFormat="1" applyFont="1" applyBorder="1"/>
    <xf numFmtId="2" fontId="110" fillId="0" borderId="0" xfId="132" applyNumberFormat="1" applyFont="1"/>
    <xf numFmtId="194" fontId="110" fillId="0" borderId="0" xfId="187" applyNumberFormat="1" applyFont="1"/>
    <xf numFmtId="199" fontId="46" fillId="0" borderId="0" xfId="186" applyNumberFormat="1" applyFont="1"/>
    <xf numFmtId="9" fontId="50" fillId="0" borderId="0" xfId="132" applyFont="1" applyAlignment="1">
      <alignment vertical="center"/>
    </xf>
    <xf numFmtId="43" fontId="50" fillId="0" borderId="0" xfId="187" applyFont="1" applyAlignment="1">
      <alignment vertical="center"/>
    </xf>
    <xf numFmtId="43" fontId="46" fillId="0" borderId="0" xfId="187" applyFont="1" applyBorder="1" applyAlignment="1">
      <alignment vertical="center"/>
    </xf>
    <xf numFmtId="4" fontId="46" fillId="0" borderId="0" xfId="0" applyNumberFormat="1" applyFont="1" applyAlignment="1">
      <alignment vertical="center"/>
    </xf>
    <xf numFmtId="1" fontId="170" fillId="0" borderId="50" xfId="0" applyNumberFormat="1" applyFont="1" applyBorder="1" applyAlignment="1">
      <alignment horizontal="center" vertical="center"/>
    </xf>
    <xf numFmtId="43" fontId="46" fillId="0" borderId="0" xfId="187" applyFont="1" applyAlignment="1">
      <alignment vertical="center"/>
    </xf>
    <xf numFmtId="169" fontId="111" fillId="0" borderId="0" xfId="132" applyNumberFormat="1" applyFont="1" applyProtection="1"/>
    <xf numFmtId="0" fontId="126" fillId="51" borderId="135" xfId="186" applyFont="1" applyFill="1" applyBorder="1" applyAlignment="1">
      <alignment horizontal="center" vertical="center" wrapText="1"/>
    </xf>
    <xf numFmtId="0" fontId="126" fillId="51" borderId="142" xfId="186" applyFont="1" applyFill="1" applyBorder="1" applyAlignment="1">
      <alignment horizontal="center" vertical="center" wrapText="1"/>
    </xf>
    <xf numFmtId="204" fontId="126" fillId="0" borderId="36" xfId="186" applyNumberFormat="1" applyFont="1" applyBorder="1" applyAlignment="1">
      <alignment horizontal="center" vertical="center"/>
    </xf>
    <xf numFmtId="3" fontId="126" fillId="0" borderId="36" xfId="186" applyNumberFormat="1" applyFont="1" applyBorder="1" applyAlignment="1">
      <alignment horizontal="center" vertical="center"/>
    </xf>
    <xf numFmtId="3" fontId="126" fillId="0" borderId="115" xfId="186" applyNumberFormat="1" applyFont="1" applyBorder="1" applyAlignment="1">
      <alignment horizontal="center" vertical="center"/>
    </xf>
    <xf numFmtId="3" fontId="126" fillId="0" borderId="37" xfId="186" applyNumberFormat="1" applyFont="1" applyBorder="1" applyAlignment="1">
      <alignment horizontal="center" vertical="center"/>
    </xf>
    <xf numFmtId="3" fontId="126" fillId="0" borderId="116" xfId="186" applyNumberFormat="1" applyFont="1" applyBorder="1" applyAlignment="1">
      <alignment horizontal="center" vertical="center"/>
    </xf>
    <xf numFmtId="3" fontId="126" fillId="0" borderId="100" xfId="186" applyNumberFormat="1" applyFont="1" applyBorder="1" applyAlignment="1">
      <alignment horizontal="center" vertical="center"/>
    </xf>
    <xf numFmtId="0" fontId="126" fillId="0" borderId="102" xfId="186" applyFont="1" applyBorder="1" applyAlignment="1">
      <alignment horizontal="center" vertical="center"/>
    </xf>
    <xf numFmtId="0" fontId="160" fillId="50" borderId="39" xfId="186" applyFont="1" applyFill="1" applyBorder="1" applyAlignment="1">
      <alignment horizontal="left"/>
    </xf>
    <xf numFmtId="3" fontId="126" fillId="0" borderId="47" xfId="186" applyNumberFormat="1" applyFont="1" applyBorder="1" applyAlignment="1">
      <alignment horizontal="center" vertical="center"/>
    </xf>
    <xf numFmtId="205" fontId="126" fillId="0" borderId="36" xfId="186" applyNumberFormat="1" applyFont="1" applyBorder="1" applyAlignment="1">
      <alignment horizontal="center" vertical="center"/>
    </xf>
    <xf numFmtId="3" fontId="126" fillId="0" borderId="0" xfId="186" applyNumberFormat="1" applyFont="1" applyAlignment="1">
      <alignment horizontal="center" vertical="center"/>
    </xf>
    <xf numFmtId="205" fontId="126" fillId="0" borderId="100" xfId="186" applyNumberFormat="1" applyFont="1" applyBorder="1" applyAlignment="1">
      <alignment horizontal="center" vertical="center"/>
    </xf>
    <xf numFmtId="0" fontId="141" fillId="46" borderId="0" xfId="184" applyFont="1" applyFill="1" applyAlignment="1">
      <alignment horizontal="center" vertical="center"/>
    </xf>
    <xf numFmtId="171" fontId="46" fillId="0" borderId="0" xfId="186" applyNumberFormat="1" applyFont="1"/>
    <xf numFmtId="10" fontId="126" fillId="50" borderId="143" xfId="132" applyNumberFormat="1" applyFont="1" applyFill="1" applyBorder="1" applyAlignment="1">
      <alignment horizontal="center" vertical="center" wrapText="1"/>
    </xf>
    <xf numFmtId="0" fontId="132" fillId="0" borderId="0" xfId="68" applyFont="1" applyAlignment="1">
      <alignment horizontal="left" vertical="center" wrapText="1"/>
    </xf>
    <xf numFmtId="0" fontId="131" fillId="0" borderId="0" xfId="68" applyFont="1" applyAlignment="1">
      <alignment horizontal="left" vertical="center" wrapText="1"/>
    </xf>
    <xf numFmtId="0" fontId="132" fillId="0" borderId="0" xfId="184" applyFont="1" applyAlignment="1">
      <alignment horizontal="justify" vertical="top" wrapText="1"/>
    </xf>
    <xf numFmtId="0" fontId="114" fillId="0" borderId="38" xfId="68" applyFont="1" applyBorder="1" applyAlignment="1">
      <alignment horizontal="center" vertical="center"/>
    </xf>
    <xf numFmtId="0" fontId="129" fillId="34" borderId="0" xfId="0" applyFont="1" applyFill="1" applyAlignment="1">
      <alignment horizontal="left" vertical="center" wrapText="1"/>
    </xf>
    <xf numFmtId="0" fontId="141" fillId="46" borderId="0" xfId="184" applyFont="1" applyFill="1" applyAlignment="1">
      <alignment horizontal="center" vertical="center"/>
    </xf>
    <xf numFmtId="0" fontId="115" fillId="34" borderId="0" xfId="0" applyFont="1" applyFill="1" applyAlignment="1">
      <alignment horizontal="left" vertical="center" wrapText="1"/>
    </xf>
    <xf numFmtId="0" fontId="115" fillId="0" borderId="0" xfId="184" applyFont="1" applyAlignment="1">
      <alignment horizontal="left" vertical="center" wrapText="1"/>
    </xf>
    <xf numFmtId="0" fontId="115" fillId="0" borderId="0" xfId="0" applyFont="1" applyAlignment="1">
      <alignment horizontal="left" vertical="center" wrapText="1"/>
    </xf>
    <xf numFmtId="0" fontId="148" fillId="46" borderId="0" xfId="0" applyFont="1" applyFill="1" applyAlignment="1">
      <alignment vertical="center"/>
    </xf>
    <xf numFmtId="0" fontId="115" fillId="34" borderId="0" xfId="0" applyFont="1" applyFill="1" applyAlignment="1">
      <alignment horizontal="left" vertical="top" wrapText="1"/>
    </xf>
    <xf numFmtId="0" fontId="169" fillId="34" borderId="0" xfId="0" applyFont="1" applyFill="1" applyAlignment="1">
      <alignment horizontal="left" vertical="center" wrapText="1"/>
    </xf>
    <xf numFmtId="0" fontId="116" fillId="51" borderId="41" xfId="0" applyFont="1" applyFill="1" applyBorder="1" applyAlignment="1">
      <alignment horizontal="left" vertical="center" wrapText="1"/>
    </xf>
    <xf numFmtId="0" fontId="115" fillId="51" borderId="41" xfId="0" applyFont="1" applyFill="1" applyBorder="1" applyAlignment="1">
      <alignment horizontal="left" vertical="center" wrapText="1"/>
    </xf>
    <xf numFmtId="0" fontId="116" fillId="51" borderId="107" xfId="0" applyFont="1" applyFill="1" applyBorder="1" applyAlignment="1">
      <alignment horizontal="left" vertical="center" wrapText="1"/>
    </xf>
    <xf numFmtId="0" fontId="115" fillId="51" borderId="111" xfId="0" applyFont="1" applyFill="1" applyBorder="1" applyAlignment="1">
      <alignment horizontal="left" vertical="center" wrapText="1"/>
    </xf>
    <xf numFmtId="0" fontId="116" fillId="51" borderId="111" xfId="0" applyFont="1" applyFill="1" applyBorder="1" applyAlignment="1">
      <alignment horizontal="left" vertical="center" wrapText="1"/>
    </xf>
    <xf numFmtId="0" fontId="115" fillId="0" borderId="0" xfId="0" applyFont="1" applyAlignment="1">
      <alignment horizontal="left" vertical="top" wrapText="1"/>
    </xf>
    <xf numFmtId="0" fontId="160" fillId="0" borderId="0" xfId="184" applyFont="1" applyAlignment="1">
      <alignment horizontal="left" vertical="top" wrapText="1"/>
    </xf>
    <xf numFmtId="0" fontId="115" fillId="0" borderId="0" xfId="186" applyFont="1" applyAlignment="1">
      <alignment horizontal="left" vertical="center" wrapText="1" shrinkToFit="1"/>
    </xf>
    <xf numFmtId="0" fontId="115" fillId="0" borderId="0" xfId="0" applyFont="1"/>
    <xf numFmtId="179" fontId="115" fillId="0" borderId="0" xfId="186" applyNumberFormat="1" applyFont="1" applyAlignment="1">
      <alignment horizontal="left" vertical="center" wrapText="1" shrinkToFit="1"/>
    </xf>
    <xf numFmtId="0" fontId="165" fillId="0" borderId="0" xfId="184" applyFont="1" applyAlignment="1">
      <alignment horizontal="left" vertical="top" wrapText="1"/>
    </xf>
    <xf numFmtId="179" fontId="115" fillId="0" borderId="0" xfId="186" applyNumberFormat="1" applyFont="1" applyAlignment="1">
      <alignment horizontal="left" vertical="top" wrapText="1" shrinkToFit="1"/>
    </xf>
    <xf numFmtId="0" fontId="115" fillId="0" borderId="0" xfId="0" applyFont="1" applyAlignment="1">
      <alignment horizontal="lef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002F30"/>
      <color rgb="FF296ED4"/>
      <color rgb="FFFFF5BF"/>
      <color rgb="FFCAC3AF"/>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359834</xdr:colOff>
      <xdr:row>3</xdr:row>
      <xdr:rowOff>74082</xdr:rowOff>
    </xdr:from>
    <xdr:to>
      <xdr:col>3</xdr:col>
      <xdr:colOff>1569168</xdr:colOff>
      <xdr:row>6</xdr:row>
      <xdr:rowOff>190499</xdr:rowOff>
    </xdr:to>
    <xdr:pic>
      <xdr:nvPicPr>
        <xdr:cNvPr id="3" name="Picture 2">
          <a:extLst>
            <a:ext uri="{FF2B5EF4-FFF2-40B4-BE49-F238E27FC236}">
              <a16:creationId xmlns:a16="http://schemas.microsoft.com/office/drawing/2014/main" id="{3E437E91-1EE8-45C6-E7A6-81360528E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584" y="698499"/>
          <a:ext cx="2193584"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130969</xdr:colOff>
      <xdr:row>0</xdr:row>
      <xdr:rowOff>142875</xdr:rowOff>
    </xdr:from>
    <xdr:to>
      <xdr:col>1</xdr:col>
      <xdr:colOff>2157865</xdr:colOff>
      <xdr:row>3</xdr:row>
      <xdr:rowOff>47625</xdr:rowOff>
    </xdr:to>
    <xdr:pic>
      <xdr:nvPicPr>
        <xdr:cNvPr id="2" name="Picture 1">
          <a:extLst>
            <a:ext uri="{FF2B5EF4-FFF2-40B4-BE49-F238E27FC236}">
              <a16:creationId xmlns:a16="http://schemas.microsoft.com/office/drawing/2014/main" id="{99706A75-E90C-432D-9B22-DD0B2E5CAC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42875"/>
          <a:ext cx="2193584" cy="51196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119063</xdr:colOff>
      <xdr:row>0</xdr:row>
      <xdr:rowOff>178595</xdr:rowOff>
    </xdr:from>
    <xdr:to>
      <xdr:col>1</xdr:col>
      <xdr:colOff>2145959</xdr:colOff>
      <xdr:row>3</xdr:row>
      <xdr:rowOff>83345</xdr:rowOff>
    </xdr:to>
    <xdr:pic>
      <xdr:nvPicPr>
        <xdr:cNvPr id="3" name="Picture 2">
          <a:extLst>
            <a:ext uri="{FF2B5EF4-FFF2-40B4-BE49-F238E27FC236}">
              <a16:creationId xmlns:a16="http://schemas.microsoft.com/office/drawing/2014/main" id="{BF5B35B0-F702-4A79-AE4F-A2497AD09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5"/>
          <a:ext cx="2193584" cy="51196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2193584</xdr:colOff>
      <xdr:row>3</xdr:row>
      <xdr:rowOff>107156</xdr:rowOff>
    </xdr:to>
    <xdr:pic>
      <xdr:nvPicPr>
        <xdr:cNvPr id="3" name="Picture 2">
          <a:extLst>
            <a:ext uri="{FF2B5EF4-FFF2-40B4-BE49-F238E27FC236}">
              <a16:creationId xmlns:a16="http://schemas.microsoft.com/office/drawing/2014/main" id="{6F4B2A73-5E2B-4DBB-96E3-766F7D7CAB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66688" y="202406"/>
          <a:ext cx="2193584" cy="51196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107156</xdr:colOff>
      <xdr:row>0</xdr:row>
      <xdr:rowOff>142875</xdr:rowOff>
    </xdr:from>
    <xdr:to>
      <xdr:col>1</xdr:col>
      <xdr:colOff>2134052</xdr:colOff>
      <xdr:row>3</xdr:row>
      <xdr:rowOff>47625</xdr:rowOff>
    </xdr:to>
    <xdr:pic>
      <xdr:nvPicPr>
        <xdr:cNvPr id="3" name="Picture 2">
          <a:extLst>
            <a:ext uri="{FF2B5EF4-FFF2-40B4-BE49-F238E27FC236}">
              <a16:creationId xmlns:a16="http://schemas.microsoft.com/office/drawing/2014/main" id="{A86CAD59-2022-4751-B760-C47B70B751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6" y="142875"/>
          <a:ext cx="2193584" cy="51196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119063</xdr:colOff>
      <xdr:row>0</xdr:row>
      <xdr:rowOff>166688</xdr:rowOff>
    </xdr:from>
    <xdr:to>
      <xdr:col>1</xdr:col>
      <xdr:colOff>2145959</xdr:colOff>
      <xdr:row>3</xdr:row>
      <xdr:rowOff>71438</xdr:rowOff>
    </xdr:to>
    <xdr:pic>
      <xdr:nvPicPr>
        <xdr:cNvPr id="2" name="Picture 1">
          <a:extLst>
            <a:ext uri="{FF2B5EF4-FFF2-40B4-BE49-F238E27FC236}">
              <a16:creationId xmlns:a16="http://schemas.microsoft.com/office/drawing/2014/main" id="{5C0A05B6-45C7-45B2-A0AA-42B74AC07E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66688"/>
          <a:ext cx="2193584" cy="51196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83344</xdr:colOff>
      <xdr:row>0</xdr:row>
      <xdr:rowOff>154781</xdr:rowOff>
    </xdr:from>
    <xdr:to>
      <xdr:col>1</xdr:col>
      <xdr:colOff>2110240</xdr:colOff>
      <xdr:row>3</xdr:row>
      <xdr:rowOff>59531</xdr:rowOff>
    </xdr:to>
    <xdr:pic>
      <xdr:nvPicPr>
        <xdr:cNvPr id="3" name="Picture 2">
          <a:extLst>
            <a:ext uri="{FF2B5EF4-FFF2-40B4-BE49-F238E27FC236}">
              <a16:creationId xmlns:a16="http://schemas.microsoft.com/office/drawing/2014/main" id="{E5C57A1A-3748-4C26-BA15-E2C392728F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83344" y="154781"/>
          <a:ext cx="2193584" cy="51196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A95D3643-0B59-4851-9D9F-4AE189DB48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238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35C8EE76-483F-46B2-960A-0954BF10F1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1E591BD5-8845-4413-96A2-A1D387889D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142876</xdr:colOff>
      <xdr:row>0</xdr:row>
      <xdr:rowOff>130970</xdr:rowOff>
    </xdr:from>
    <xdr:to>
      <xdr:col>1</xdr:col>
      <xdr:colOff>2169772</xdr:colOff>
      <xdr:row>3</xdr:row>
      <xdr:rowOff>35720</xdr:rowOff>
    </xdr:to>
    <xdr:pic>
      <xdr:nvPicPr>
        <xdr:cNvPr id="3" name="Picture 2">
          <a:extLst>
            <a:ext uri="{FF2B5EF4-FFF2-40B4-BE49-F238E27FC236}">
              <a16:creationId xmlns:a16="http://schemas.microsoft.com/office/drawing/2014/main" id="{B1DD4360-1CF9-4DE6-8764-0955822D69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42876" y="130970"/>
          <a:ext cx="2193584" cy="511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107156</xdr:rowOff>
    </xdr:from>
    <xdr:to>
      <xdr:col>1</xdr:col>
      <xdr:colOff>2098334</xdr:colOff>
      <xdr:row>3</xdr:row>
      <xdr:rowOff>11906</xdr:rowOff>
    </xdr:to>
    <xdr:pic>
      <xdr:nvPicPr>
        <xdr:cNvPr id="3" name="Picture 2">
          <a:extLst>
            <a:ext uri="{FF2B5EF4-FFF2-40B4-BE49-F238E27FC236}">
              <a16:creationId xmlns:a16="http://schemas.microsoft.com/office/drawing/2014/main" id="{0D67EFC6-C812-4741-B49B-4A427836C0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71438" y="107156"/>
          <a:ext cx="2193584" cy="5119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119063</xdr:rowOff>
    </xdr:from>
    <xdr:to>
      <xdr:col>1</xdr:col>
      <xdr:colOff>2122147</xdr:colOff>
      <xdr:row>3</xdr:row>
      <xdr:rowOff>23813</xdr:rowOff>
    </xdr:to>
    <xdr:pic>
      <xdr:nvPicPr>
        <xdr:cNvPr id="2" name="Picture 1">
          <a:extLst>
            <a:ext uri="{FF2B5EF4-FFF2-40B4-BE49-F238E27FC236}">
              <a16:creationId xmlns:a16="http://schemas.microsoft.com/office/drawing/2014/main" id="{E4D72D32-076F-4C93-A1F2-DE8602CCC5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95251" y="119063"/>
          <a:ext cx="2193584" cy="5119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178593</xdr:rowOff>
    </xdr:from>
    <xdr:to>
      <xdr:col>1</xdr:col>
      <xdr:colOff>2145959</xdr:colOff>
      <xdr:row>3</xdr:row>
      <xdr:rowOff>83343</xdr:rowOff>
    </xdr:to>
    <xdr:pic>
      <xdr:nvPicPr>
        <xdr:cNvPr id="3" name="Picture 2">
          <a:extLst>
            <a:ext uri="{FF2B5EF4-FFF2-40B4-BE49-F238E27FC236}">
              <a16:creationId xmlns:a16="http://schemas.microsoft.com/office/drawing/2014/main" id="{46423D13-749E-4827-8566-3EC1AD2456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3"/>
          <a:ext cx="2193584" cy="5119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35719</xdr:rowOff>
    </xdr:to>
    <xdr:pic>
      <xdr:nvPicPr>
        <xdr:cNvPr id="3" name="Picture 2">
          <a:extLst>
            <a:ext uri="{FF2B5EF4-FFF2-40B4-BE49-F238E27FC236}">
              <a16:creationId xmlns:a16="http://schemas.microsoft.com/office/drawing/2014/main" id="{00E88906-2EFC-4372-AB9A-E9A6EAA808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1196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142875</xdr:rowOff>
    </xdr:from>
    <xdr:to>
      <xdr:col>1</xdr:col>
      <xdr:colOff>2145959</xdr:colOff>
      <xdr:row>3</xdr:row>
      <xdr:rowOff>47625</xdr:rowOff>
    </xdr:to>
    <xdr:pic>
      <xdr:nvPicPr>
        <xdr:cNvPr id="3" name="Picture 2">
          <a:extLst>
            <a:ext uri="{FF2B5EF4-FFF2-40B4-BE49-F238E27FC236}">
              <a16:creationId xmlns:a16="http://schemas.microsoft.com/office/drawing/2014/main" id="{F1EF6A33-FD41-46EA-A5D0-DDDCCA45A2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42875"/>
          <a:ext cx="2193584" cy="51196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107157</xdr:colOff>
      <xdr:row>0</xdr:row>
      <xdr:rowOff>142876</xdr:rowOff>
    </xdr:from>
    <xdr:to>
      <xdr:col>1</xdr:col>
      <xdr:colOff>2134053</xdr:colOff>
      <xdr:row>3</xdr:row>
      <xdr:rowOff>47626</xdr:rowOff>
    </xdr:to>
    <xdr:pic>
      <xdr:nvPicPr>
        <xdr:cNvPr id="3" name="Picture 2">
          <a:extLst>
            <a:ext uri="{FF2B5EF4-FFF2-40B4-BE49-F238E27FC236}">
              <a16:creationId xmlns:a16="http://schemas.microsoft.com/office/drawing/2014/main" id="{AED81C9A-5CB7-4EEB-BDFB-7E420FCEBD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7" y="142876"/>
          <a:ext cx="2193584" cy="51196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130969</xdr:colOff>
      <xdr:row>0</xdr:row>
      <xdr:rowOff>166688</xdr:rowOff>
    </xdr:from>
    <xdr:to>
      <xdr:col>2</xdr:col>
      <xdr:colOff>217147</xdr:colOff>
      <xdr:row>3</xdr:row>
      <xdr:rowOff>71438</xdr:rowOff>
    </xdr:to>
    <xdr:pic>
      <xdr:nvPicPr>
        <xdr:cNvPr id="3" name="Picture 2">
          <a:extLst>
            <a:ext uri="{FF2B5EF4-FFF2-40B4-BE49-F238E27FC236}">
              <a16:creationId xmlns:a16="http://schemas.microsoft.com/office/drawing/2014/main" id="{76108278-C10D-4E77-AE11-C53A8A357E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66688"/>
          <a:ext cx="2193584" cy="51196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130970</xdr:colOff>
      <xdr:row>0</xdr:row>
      <xdr:rowOff>154782</xdr:rowOff>
    </xdr:from>
    <xdr:to>
      <xdr:col>1</xdr:col>
      <xdr:colOff>2157866</xdr:colOff>
      <xdr:row>3</xdr:row>
      <xdr:rowOff>59532</xdr:rowOff>
    </xdr:to>
    <xdr:pic>
      <xdr:nvPicPr>
        <xdr:cNvPr id="3" name="Picture 2">
          <a:extLst>
            <a:ext uri="{FF2B5EF4-FFF2-40B4-BE49-F238E27FC236}">
              <a16:creationId xmlns:a16="http://schemas.microsoft.com/office/drawing/2014/main" id="{F59F0222-05EC-41EF-94B9-F43C607551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70" y="154782"/>
          <a:ext cx="2193584" cy="51196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6"/>
  <sheetViews>
    <sheetView showGridLines="0" tabSelected="1" view="pageBreakPreview" zoomScaleNormal="85" zoomScaleSheetLayoutView="100" workbookViewId="0">
      <selection activeCell="O14" sqref="O14"/>
    </sheetView>
  </sheetViews>
  <sheetFormatPr defaultColWidth="9.140625" defaultRowHeight="18" x14ac:dyDescent="0.35"/>
  <cols>
    <col min="1" max="1" width="2.42578125" style="118" customWidth="1"/>
    <col min="2" max="2" width="6.140625" style="118" customWidth="1"/>
    <col min="3" max="3" width="8.5703125" style="118" customWidth="1"/>
    <col min="4" max="4" width="47.85546875" style="118" bestFit="1" customWidth="1"/>
    <col min="5" max="5" width="18.42578125" style="109" customWidth="1"/>
    <col min="6" max="6" width="21.42578125" style="118" customWidth="1"/>
    <col min="7" max="7" width="3.7109375" style="118" customWidth="1"/>
    <col min="8" max="16384" width="9.140625" style="118"/>
  </cols>
  <sheetData>
    <row r="1" spans="2:6" ht="12.75" customHeight="1" x14ac:dyDescent="0.35">
      <c r="B1" s="141"/>
      <c r="C1" s="141"/>
    </row>
    <row r="2" spans="2:6" x14ac:dyDescent="0.35">
      <c r="B2" s="141"/>
      <c r="C2" s="141"/>
    </row>
    <row r="3" spans="2:6" x14ac:dyDescent="0.35">
      <c r="B3" s="141"/>
      <c r="C3" s="141"/>
    </row>
    <row r="4" spans="2:6" x14ac:dyDescent="0.35">
      <c r="B4" s="141"/>
      <c r="C4" s="141"/>
    </row>
    <row r="5" spans="2:6" ht="16.5" customHeight="1" x14ac:dyDescent="0.35">
      <c r="B5" s="142"/>
      <c r="D5" s="142"/>
      <c r="E5" s="143"/>
      <c r="F5" s="142"/>
    </row>
    <row r="6" spans="2:6" ht="16.5" customHeight="1" x14ac:dyDescent="0.35">
      <c r="B6" s="142"/>
      <c r="D6" s="142"/>
      <c r="E6" s="143"/>
      <c r="F6" s="142"/>
    </row>
    <row r="7" spans="2:6" x14ac:dyDescent="0.35">
      <c r="B7" s="141"/>
      <c r="C7" s="141"/>
    </row>
    <row r="8" spans="2:6" x14ac:dyDescent="0.35">
      <c r="B8" s="141"/>
      <c r="C8" s="141"/>
    </row>
    <row r="9" spans="2:6" x14ac:dyDescent="0.35">
      <c r="B9" s="141"/>
      <c r="C9" s="141"/>
    </row>
    <row r="10" spans="2:6" x14ac:dyDescent="0.35">
      <c r="B10" s="141"/>
      <c r="C10" s="141"/>
    </row>
    <row r="11" spans="2:6" x14ac:dyDescent="0.35">
      <c r="B11" s="144"/>
      <c r="C11" s="144"/>
      <c r="D11" s="107"/>
      <c r="E11" s="108"/>
      <c r="F11" s="107"/>
    </row>
    <row r="12" spans="2:6" x14ac:dyDescent="0.35">
      <c r="B12" s="144"/>
      <c r="C12" s="144"/>
      <c r="D12" s="107"/>
      <c r="E12" s="108"/>
      <c r="F12" s="107"/>
    </row>
    <row r="13" spans="2:6" ht="40.5" customHeight="1" x14ac:dyDescent="0.3">
      <c r="B13" s="935" t="s">
        <v>546</v>
      </c>
      <c r="C13" s="935"/>
      <c r="D13" s="935"/>
      <c r="E13" s="935"/>
      <c r="F13" s="935"/>
    </row>
    <row r="14" spans="2:6" x14ac:dyDescent="0.35">
      <c r="B14" s="144"/>
      <c r="C14" s="144"/>
      <c r="D14" s="107"/>
      <c r="E14" s="108"/>
      <c r="F14" s="107"/>
    </row>
    <row r="15" spans="2:6" x14ac:dyDescent="0.35">
      <c r="B15" s="144"/>
      <c r="C15" s="144"/>
      <c r="D15" s="107"/>
      <c r="E15" s="108"/>
      <c r="F15" s="107"/>
    </row>
    <row r="16" spans="2:6" ht="13.5" customHeight="1" x14ac:dyDescent="0.35">
      <c r="B16" s="141"/>
      <c r="C16" s="144"/>
      <c r="D16" s="107"/>
      <c r="E16" s="108"/>
      <c r="F16" s="109"/>
    </row>
    <row r="17" spans="2:6" x14ac:dyDescent="0.35">
      <c r="B17" s="141"/>
      <c r="C17" s="144"/>
      <c r="D17" s="110"/>
      <c r="E17" s="108"/>
      <c r="F17" s="109"/>
    </row>
    <row r="18" spans="2:6" x14ac:dyDescent="0.35">
      <c r="B18" s="141"/>
      <c r="C18" s="144"/>
      <c r="D18" s="111" t="s">
        <v>228</v>
      </c>
      <c r="E18" s="112">
        <v>1</v>
      </c>
      <c r="F18" s="109"/>
    </row>
    <row r="19" spans="2:6" x14ac:dyDescent="0.35">
      <c r="B19" s="141"/>
      <c r="C19" s="144"/>
      <c r="D19" s="110" t="s">
        <v>229</v>
      </c>
      <c r="E19" s="113">
        <v>2</v>
      </c>
      <c r="F19" s="109"/>
    </row>
    <row r="20" spans="2:6" ht="17.25" customHeight="1" x14ac:dyDescent="0.35">
      <c r="B20" s="141"/>
      <c r="C20" s="145"/>
      <c r="D20" s="111" t="s">
        <v>230</v>
      </c>
      <c r="E20" s="113">
        <v>3</v>
      </c>
      <c r="F20" s="109"/>
    </row>
    <row r="21" spans="2:6" ht="17.25" customHeight="1" x14ac:dyDescent="0.35">
      <c r="B21" s="141"/>
      <c r="C21" s="145"/>
      <c r="D21" s="111" t="s">
        <v>231</v>
      </c>
      <c r="E21" s="113">
        <v>4</v>
      </c>
      <c r="F21" s="109"/>
    </row>
    <row r="22" spans="2:6" ht="17.25" customHeight="1" x14ac:dyDescent="0.35">
      <c r="B22" s="141"/>
      <c r="C22" s="145"/>
      <c r="D22" s="111" t="s">
        <v>46</v>
      </c>
      <c r="E22" s="112">
        <v>5</v>
      </c>
      <c r="F22" s="115"/>
    </row>
    <row r="23" spans="2:6" ht="17.25" customHeight="1" x14ac:dyDescent="0.35">
      <c r="B23" s="141"/>
      <c r="C23" s="144"/>
      <c r="D23" s="111" t="s">
        <v>1</v>
      </c>
      <c r="E23" s="112">
        <v>6</v>
      </c>
      <c r="F23" s="115"/>
    </row>
    <row r="24" spans="2:6" ht="17.25" customHeight="1" x14ac:dyDescent="0.35">
      <c r="B24" s="141"/>
      <c r="C24" s="144"/>
      <c r="D24" s="111" t="s">
        <v>198</v>
      </c>
      <c r="E24" s="112">
        <v>7</v>
      </c>
      <c r="F24" s="115"/>
    </row>
    <row r="25" spans="2:6" ht="17.25" customHeight="1" x14ac:dyDescent="0.35">
      <c r="B25" s="141"/>
      <c r="C25" s="144"/>
      <c r="D25" s="110" t="s">
        <v>483</v>
      </c>
      <c r="E25" s="113">
        <v>8</v>
      </c>
      <c r="F25" s="115"/>
    </row>
    <row r="26" spans="2:6" ht="17.25" customHeight="1" x14ac:dyDescent="0.35">
      <c r="B26" s="141"/>
      <c r="C26" s="144"/>
      <c r="D26" s="111" t="s">
        <v>232</v>
      </c>
      <c r="E26" s="112">
        <v>9</v>
      </c>
      <c r="F26" s="115"/>
    </row>
    <row r="27" spans="2:6" ht="17.25" customHeight="1" x14ac:dyDescent="0.35">
      <c r="B27" s="141"/>
      <c r="C27" s="144"/>
      <c r="D27" s="111" t="s">
        <v>233</v>
      </c>
      <c r="E27" s="112">
        <v>10</v>
      </c>
      <c r="F27" s="115"/>
    </row>
    <row r="28" spans="2:6" ht="17.25" customHeight="1" x14ac:dyDescent="0.35">
      <c r="B28" s="141"/>
      <c r="C28" s="144"/>
      <c r="D28" s="111" t="s">
        <v>234</v>
      </c>
      <c r="E28" s="112">
        <v>11</v>
      </c>
      <c r="F28" s="115"/>
    </row>
    <row r="29" spans="2:6" ht="17.25" customHeight="1" x14ac:dyDescent="0.35">
      <c r="B29" s="141"/>
      <c r="C29" s="144"/>
      <c r="D29" s="111" t="s">
        <v>235</v>
      </c>
      <c r="E29" s="112">
        <v>12</v>
      </c>
      <c r="F29" s="115"/>
    </row>
    <row r="30" spans="2:6" ht="17.25" customHeight="1" x14ac:dyDescent="0.35">
      <c r="B30" s="141"/>
      <c r="C30" s="144"/>
      <c r="D30" s="111" t="s">
        <v>236</v>
      </c>
      <c r="E30" s="112">
        <v>13</v>
      </c>
      <c r="F30" s="115"/>
    </row>
    <row r="31" spans="2:6" ht="17.25" customHeight="1" x14ac:dyDescent="0.35">
      <c r="B31" s="141"/>
      <c r="C31" s="144"/>
      <c r="D31" s="111" t="s">
        <v>237</v>
      </c>
      <c r="E31" s="112">
        <v>14</v>
      </c>
      <c r="F31" s="115"/>
    </row>
    <row r="32" spans="2:6" ht="17.25" customHeight="1" x14ac:dyDescent="0.35">
      <c r="B32" s="141"/>
      <c r="C32" s="144"/>
      <c r="D32" s="111" t="s">
        <v>278</v>
      </c>
      <c r="E32" s="112">
        <v>15</v>
      </c>
      <c r="F32" s="112"/>
    </row>
    <row r="33" spans="2:6" ht="17.25" customHeight="1" x14ac:dyDescent="0.35">
      <c r="B33" s="141"/>
      <c r="C33" s="144"/>
      <c r="D33" s="111" t="s">
        <v>633</v>
      </c>
      <c r="E33" s="112">
        <v>16</v>
      </c>
      <c r="F33" s="112"/>
    </row>
    <row r="34" spans="2:6" ht="17.25" customHeight="1" x14ac:dyDescent="0.35">
      <c r="B34" s="141"/>
      <c r="C34" s="144"/>
      <c r="D34" s="111" t="s">
        <v>238</v>
      </c>
      <c r="E34" s="112">
        <v>17</v>
      </c>
      <c r="F34" s="115"/>
    </row>
    <row r="35" spans="2:6" ht="17.25" customHeight="1" x14ac:dyDescent="0.35">
      <c r="B35" s="141"/>
      <c r="C35" s="141"/>
      <c r="D35" s="116" t="s">
        <v>52</v>
      </c>
      <c r="E35" s="117"/>
      <c r="F35" s="109"/>
    </row>
    <row r="36" spans="2:6" ht="17.25" customHeight="1" x14ac:dyDescent="0.35">
      <c r="B36" s="141"/>
      <c r="C36" s="141"/>
      <c r="D36" s="114" t="s">
        <v>53</v>
      </c>
      <c r="F36" s="109"/>
    </row>
    <row r="37" spans="2:6" ht="17.25" customHeight="1" x14ac:dyDescent="0.35">
      <c r="B37" s="141"/>
      <c r="C37" s="141"/>
      <c r="D37" s="114" t="s">
        <v>18</v>
      </c>
      <c r="F37" s="109"/>
    </row>
    <row r="38" spans="2:6" ht="17.25" customHeight="1" x14ac:dyDescent="0.35">
      <c r="B38" s="141"/>
      <c r="C38" s="141"/>
      <c r="D38" s="114" t="s">
        <v>92</v>
      </c>
      <c r="F38" s="109"/>
    </row>
    <row r="39" spans="2:6" ht="17.25" customHeight="1" x14ac:dyDescent="0.35">
      <c r="B39" s="141"/>
      <c r="C39" s="141"/>
      <c r="D39" s="114" t="s">
        <v>19</v>
      </c>
    </row>
    <row r="40" spans="2:6" x14ac:dyDescent="0.35">
      <c r="B40" s="141"/>
      <c r="C40" s="141"/>
      <c r="D40" s="114"/>
      <c r="E40" s="119"/>
    </row>
    <row r="41" spans="2:6" x14ac:dyDescent="0.35">
      <c r="B41" s="141"/>
      <c r="C41" s="141"/>
    </row>
    <row r="42" spans="2:6" x14ac:dyDescent="0.35">
      <c r="B42" s="141"/>
      <c r="C42" s="141"/>
    </row>
    <row r="43" spans="2:6" ht="15" customHeight="1" x14ac:dyDescent="0.3">
      <c r="B43" s="933"/>
      <c r="C43" s="933"/>
      <c r="D43" s="933"/>
      <c r="E43" s="933"/>
      <c r="F43" s="933"/>
    </row>
    <row r="44" spans="2:6" ht="15.75" customHeight="1" x14ac:dyDescent="0.3">
      <c r="B44" s="934"/>
      <c r="C44" s="934"/>
      <c r="D44" s="934"/>
      <c r="E44" s="934"/>
      <c r="F44" s="934"/>
    </row>
    <row r="45" spans="2:6" ht="15.75" customHeight="1" x14ac:dyDescent="0.3">
      <c r="B45" s="934"/>
      <c r="C45" s="934"/>
      <c r="D45" s="934"/>
      <c r="E45" s="934"/>
      <c r="F45" s="934"/>
    </row>
    <row r="46" spans="2:6" ht="15.75" customHeight="1" x14ac:dyDescent="0.3">
      <c r="B46" s="934"/>
      <c r="C46" s="934"/>
      <c r="D46" s="934"/>
      <c r="E46" s="934"/>
      <c r="F46" s="934"/>
    </row>
    <row r="47" spans="2:6" ht="15.75" customHeight="1" x14ac:dyDescent="0.3">
      <c r="B47" s="934"/>
      <c r="C47" s="934"/>
      <c r="D47" s="934"/>
      <c r="E47" s="934"/>
      <c r="F47" s="934"/>
    </row>
    <row r="48" spans="2:6" ht="12.75" customHeight="1" x14ac:dyDescent="0.35"/>
    <row r="49" spans="2:6" ht="12.75" customHeight="1" x14ac:dyDescent="0.35"/>
    <row r="50" spans="2:6" ht="12.75" customHeight="1" x14ac:dyDescent="0.35"/>
    <row r="51" spans="2:6" ht="12.75" customHeight="1" x14ac:dyDescent="0.35"/>
    <row r="52" spans="2:6" ht="15" x14ac:dyDescent="0.3">
      <c r="B52" s="932"/>
      <c r="C52" s="932"/>
      <c r="D52" s="932"/>
      <c r="E52" s="932"/>
      <c r="F52" s="932"/>
    </row>
    <row r="53" spans="2:6" x14ac:dyDescent="0.35">
      <c r="B53" s="146"/>
      <c r="C53" s="142"/>
      <c r="D53" s="142"/>
      <c r="E53" s="143"/>
      <c r="F53" s="142"/>
    </row>
    <row r="54" spans="2:6" x14ac:dyDescent="0.35">
      <c r="B54" s="146"/>
      <c r="C54" s="142"/>
      <c r="D54" s="142"/>
      <c r="E54" s="143"/>
      <c r="F54" s="142"/>
    </row>
    <row r="55" spans="2:6" x14ac:dyDescent="0.35">
      <c r="B55" s="146"/>
      <c r="C55" s="142"/>
      <c r="D55" s="142"/>
      <c r="E55" s="143"/>
      <c r="F55" s="142"/>
    </row>
    <row r="56" spans="2:6" x14ac:dyDescent="0.35">
      <c r="B56" s="147"/>
    </row>
  </sheetData>
  <mergeCells count="4">
    <mergeCell ref="B52:F52"/>
    <mergeCell ref="B43:F43"/>
    <mergeCell ref="B44:F47"/>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28:E28" location="'Asset Quality'!A1" display="Asset Quality" xr:uid="{00000000-0004-0000-0000-000003000000}"/>
    <hyperlink ref="E22" location="PL!A1" display="PL!A1" xr:uid="{00000000-0004-0000-0000-000005000000}"/>
    <hyperlink ref="E28" location="'Loan Portfolio Quality'!A1" display="'Loan Portfolio Quality'!A1" xr:uid="{00000000-0004-0000-0000-000006000000}"/>
    <hyperlink ref="D31"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28" location="'Loan Portfolio Quality'!A1" display="Loan Portfolio Quality" xr:uid="{00000000-0004-0000-0000-00000C000000}"/>
    <hyperlink ref="D34" location="'Other Information'!A1" display="Other Information" xr:uid="{00000000-0004-0000-0000-00000D000000}"/>
    <hyperlink ref="D30" location="'NPE flow decomposition'!A1" display="NPE flow decomposition" xr:uid="{00000000-0004-0000-0000-00000E000000}"/>
    <hyperlink ref="E31" location="'Capital Adequacy'!A1" display="7" xr:uid="{00000000-0004-0000-0000-00000F000000}"/>
    <hyperlink ref="E34" location="'Other Information'!Print_Titles" display="8" xr:uid="{00000000-0004-0000-0000-000010000000}"/>
    <hyperlink ref="E30"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7" location="'Performing Loans'!A1" display="Performing Loans" xr:uid="{80E650C9-F9A2-4DBA-AB2E-819BA478DBD9}"/>
    <hyperlink ref="D29"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7" location="'Performing Loans'!A1" display="'Performing Loans'!A1" xr:uid="{94464FE2-72AE-4ABB-8C0E-791B379E5851}"/>
    <hyperlink ref="E29"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2" location="'Debt securities'!Print_Area" display="Debt securities" xr:uid="{18A4D239-25C4-4266-90B2-F17EA50B1269}"/>
    <hyperlink ref="E32" location="'Debt securities'!Print_Area" display="'Debt securities'!Print_Area" xr:uid="{65C79287-2279-4464-BC76-265CB71E69C1}"/>
    <hyperlink ref="E33" location="'Synthetic securitizations'!Print_Area" display="'Synthetic securitizations'!Print_Area" xr:uid="{5E03A2EE-3028-458B-ABD9-98756C964C4E}"/>
    <hyperlink ref="D33" location="'Synthetic securitizations'!Print_Area" display="Synthetic securitizations of performing loans" xr:uid="{440535DA-937E-425D-9C8D-23602B8F847A}"/>
  </hyperlinks>
  <printOptions horizontalCentered="1" verticalCentered="1"/>
  <pageMargins left="0" right="0" top="0" bottom="0" header="0" footer="0"/>
  <pageSetup paperSize="9" scale="86" orientation="portrait" r:id="rId1"/>
  <headerFooter alignWithMargins="0"/>
  <rowBreaks count="1" manualBreakCount="1">
    <brk id="55"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0"/>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O19" sqref="O19"/>
    </sheetView>
  </sheetViews>
  <sheetFormatPr defaultColWidth="9.140625" defaultRowHeight="15.75" x14ac:dyDescent="0.2"/>
  <cols>
    <col min="1" max="1" width="2.42578125" style="6" customWidth="1"/>
    <col min="2" max="2" width="80.7109375" style="6" customWidth="1"/>
    <col min="3" max="7" width="19.28515625" style="6" customWidth="1"/>
    <col min="8" max="8" width="2.85546875" style="6" customWidth="1"/>
    <col min="9" max="9" width="19.28515625" style="6" customWidth="1"/>
    <col min="10" max="10" width="2.28515625" style="6" customWidth="1"/>
    <col min="11" max="11" width="19.28515625" style="6" customWidth="1"/>
    <col min="12" max="12" width="3" style="6" customWidth="1"/>
    <col min="13" max="16384" width="9.140625" style="6"/>
  </cols>
  <sheetData>
    <row r="1" spans="1:13" ht="15.75" customHeight="1" x14ac:dyDescent="0.2">
      <c r="B1" s="120"/>
      <c r="C1" s="120"/>
      <c r="D1" s="120"/>
      <c r="E1" s="120"/>
      <c r="F1" s="120"/>
      <c r="G1" s="120"/>
      <c r="H1" s="120"/>
      <c r="I1" s="120"/>
      <c r="J1" s="120"/>
      <c r="K1" s="120"/>
    </row>
    <row r="2" spans="1:13" ht="15.75" customHeight="1" x14ac:dyDescent="0.2">
      <c r="B2" s="120"/>
      <c r="C2" s="123"/>
      <c r="D2" s="123"/>
      <c r="E2" s="123"/>
      <c r="F2" s="123"/>
      <c r="G2" s="120"/>
      <c r="H2" s="120"/>
      <c r="I2" s="120"/>
      <c r="J2" s="120"/>
      <c r="K2" s="122" t="s">
        <v>20</v>
      </c>
    </row>
    <row r="3" spans="1:13" ht="15.75" customHeight="1" x14ac:dyDescent="0.2">
      <c r="B3" s="120"/>
      <c r="C3" s="120"/>
      <c r="D3" s="120"/>
      <c r="E3" s="120"/>
      <c r="F3" s="120"/>
      <c r="G3" s="120"/>
      <c r="H3" s="120"/>
      <c r="I3" s="120"/>
      <c r="J3" s="120"/>
      <c r="K3" s="120"/>
    </row>
    <row r="4" spans="1:13" ht="15.75" customHeight="1" x14ac:dyDescent="0.2">
      <c r="B4" s="120"/>
      <c r="C4" s="120"/>
      <c r="D4" s="120"/>
      <c r="E4" s="120"/>
      <c r="F4" s="120"/>
      <c r="G4" s="120"/>
      <c r="H4" s="120"/>
      <c r="I4" s="120"/>
      <c r="J4" s="120"/>
      <c r="K4" s="120"/>
    </row>
    <row r="5" spans="1:13" s="17" customFormat="1" ht="28.5" x14ac:dyDescent="0.2">
      <c r="A5" s="16"/>
      <c r="B5" s="937" t="s">
        <v>548</v>
      </c>
      <c r="C5" s="941"/>
      <c r="D5" s="941"/>
      <c r="E5" s="941"/>
      <c r="F5" s="941"/>
      <c r="G5" s="941"/>
      <c r="H5" s="941"/>
      <c r="I5" s="941"/>
      <c r="J5" s="941"/>
      <c r="K5" s="941"/>
      <c r="L5" s="12"/>
      <c r="M5" s="12"/>
    </row>
    <row r="6" spans="1:13" s="17" customFormat="1" ht="9" customHeight="1" x14ac:dyDescent="0.2">
      <c r="A6" s="16"/>
      <c r="B6" s="127"/>
      <c r="C6" s="126"/>
      <c r="D6" s="126"/>
      <c r="E6" s="126"/>
      <c r="F6" s="126"/>
      <c r="G6" s="126"/>
      <c r="H6" s="126"/>
      <c r="I6" s="126"/>
      <c r="J6" s="126"/>
      <c r="K6" s="126"/>
    </row>
    <row r="7" spans="1:13" ht="15" customHeight="1" x14ac:dyDescent="0.2">
      <c r="B7" s="120"/>
      <c r="C7" s="120"/>
      <c r="D7" s="120"/>
      <c r="E7" s="120"/>
      <c r="F7" s="120"/>
      <c r="G7" s="120"/>
      <c r="H7" s="120"/>
      <c r="I7" s="120"/>
      <c r="J7" s="120"/>
      <c r="K7" s="120"/>
    </row>
    <row r="8" spans="1:13" s="7" customFormat="1" ht="33.75" customHeight="1" x14ac:dyDescent="0.2">
      <c r="B8" s="399" t="s">
        <v>0</v>
      </c>
      <c r="C8" s="400" t="s">
        <v>101</v>
      </c>
      <c r="D8" s="400" t="s">
        <v>135</v>
      </c>
      <c r="E8" s="400" t="s">
        <v>136</v>
      </c>
      <c r="F8" s="401" t="s">
        <v>41</v>
      </c>
      <c r="G8" s="402" t="s">
        <v>102</v>
      </c>
      <c r="H8" s="534"/>
      <c r="I8" s="542" t="s">
        <v>134</v>
      </c>
      <c r="J8" s="534"/>
      <c r="K8" s="542" t="s">
        <v>103</v>
      </c>
    </row>
    <row r="9" spans="1:13" s="9" customFormat="1" ht="24.75" customHeight="1" x14ac:dyDescent="0.2">
      <c r="B9" s="388" t="s">
        <v>1</v>
      </c>
      <c r="C9" s="273">
        <v>1032.4301879899999</v>
      </c>
      <c r="D9" s="273">
        <v>660.4420533</v>
      </c>
      <c r="E9" s="273">
        <v>429.43136558999998</v>
      </c>
      <c r="F9" s="375">
        <v>-1.2275390599999634</v>
      </c>
      <c r="G9" s="362">
        <f>SUM(C9:F9)</f>
        <v>2121.0760678199999</v>
      </c>
      <c r="H9" s="314"/>
      <c r="I9" s="543">
        <v>-32.869370549999999</v>
      </c>
      <c r="J9" s="552"/>
      <c r="K9" s="721">
        <f>G9+I9</f>
        <v>2088.2066972699999</v>
      </c>
    </row>
    <row r="10" spans="1:13" s="9" customFormat="1" ht="24.75" customHeight="1" x14ac:dyDescent="0.2">
      <c r="B10" s="388" t="s">
        <v>133</v>
      </c>
      <c r="C10" s="273">
        <v>281.97305488000001</v>
      </c>
      <c r="D10" s="535">
        <v>217.25813689</v>
      </c>
      <c r="E10" s="535">
        <v>13.954827180000001</v>
      </c>
      <c r="F10" s="567">
        <v>31.312342599999976</v>
      </c>
      <c r="G10" s="362">
        <f t="shared" ref="G10:G12" si="0">SUM(C10:F10)</f>
        <v>544.49836155000003</v>
      </c>
      <c r="H10" s="536"/>
      <c r="I10" s="544">
        <v>4.7515394400000011</v>
      </c>
      <c r="J10" s="553"/>
      <c r="K10" s="721">
        <f t="shared" ref="K10:K12" si="1">G10+I10</f>
        <v>549.24990099000001</v>
      </c>
    </row>
    <row r="11" spans="1:13" s="9" customFormat="1" ht="24.75" customHeight="1" x14ac:dyDescent="0.2">
      <c r="B11" s="388" t="s">
        <v>104</v>
      </c>
      <c r="C11" s="535">
        <v>0</v>
      </c>
      <c r="D11" s="535">
        <v>0</v>
      </c>
      <c r="E11" s="535">
        <v>0</v>
      </c>
      <c r="F11" s="567">
        <v>81.435840500000012</v>
      </c>
      <c r="G11" s="362">
        <f t="shared" si="0"/>
        <v>81.435840500000012</v>
      </c>
      <c r="H11" s="536"/>
      <c r="I11" s="544">
        <v>5.12427733</v>
      </c>
      <c r="J11" s="553"/>
      <c r="K11" s="721">
        <f t="shared" si="1"/>
        <v>86.56011783000001</v>
      </c>
      <c r="L11" s="41"/>
    </row>
    <row r="12" spans="1:13" s="9" customFormat="1" ht="24.75" customHeight="1" x14ac:dyDescent="0.2">
      <c r="B12" s="388" t="s">
        <v>320</v>
      </c>
      <c r="C12" s="459">
        <v>-1.6041024699999973</v>
      </c>
      <c r="D12" s="459">
        <v>-5.1168504900000009</v>
      </c>
      <c r="E12" s="459">
        <v>76.061943540000016</v>
      </c>
      <c r="F12" s="471">
        <v>7.7637435199999922</v>
      </c>
      <c r="G12" s="362">
        <f t="shared" si="0"/>
        <v>77.104734100000002</v>
      </c>
      <c r="H12" s="536"/>
      <c r="I12" s="545">
        <v>-13.177649869999998</v>
      </c>
      <c r="J12" s="553"/>
      <c r="K12" s="721">
        <f t="shared" si="1"/>
        <v>63.927084230000006</v>
      </c>
      <c r="L12" s="41"/>
      <c r="M12" s="41"/>
    </row>
    <row r="13" spans="1:13" s="9" customFormat="1" ht="24.75" customHeight="1" x14ac:dyDescent="0.2">
      <c r="B13" s="561" t="s">
        <v>222</v>
      </c>
      <c r="C13" s="565">
        <f t="shared" ref="C13:F13" si="2">SUM(C9:C12)</f>
        <v>1312.7991403999999</v>
      </c>
      <c r="D13" s="565">
        <f t="shared" si="2"/>
        <v>872.58333970000001</v>
      </c>
      <c r="E13" s="565">
        <f t="shared" si="2"/>
        <v>519.44813631</v>
      </c>
      <c r="F13" s="568">
        <f t="shared" si="2"/>
        <v>119.28438756000001</v>
      </c>
      <c r="G13" s="566">
        <f>SUM(C13:F13)</f>
        <v>2824.1150039700001</v>
      </c>
      <c r="H13" s="536"/>
      <c r="I13" s="546">
        <f>SUM(I9:I12)</f>
        <v>-36.171203649999995</v>
      </c>
      <c r="J13" s="553"/>
      <c r="K13" s="722">
        <f>G13+I13</f>
        <v>2787.9438003200003</v>
      </c>
      <c r="L13" s="41"/>
    </row>
    <row r="14" spans="1:13" s="9" customFormat="1" ht="24.75" customHeight="1" x14ac:dyDescent="0.2">
      <c r="B14" s="388" t="s">
        <v>265</v>
      </c>
      <c r="C14" s="557">
        <v>-419.80949188</v>
      </c>
      <c r="D14" s="557">
        <v>-175.70002256000001</v>
      </c>
      <c r="E14" s="557">
        <v>-49.117041419999993</v>
      </c>
      <c r="F14" s="569">
        <v>-140.81411231999988</v>
      </c>
      <c r="G14" s="463">
        <f>SUM(C14:F14)</f>
        <v>-785.44066817999988</v>
      </c>
      <c r="H14" s="536"/>
      <c r="I14" s="545">
        <v>-37.355582600000005</v>
      </c>
      <c r="J14" s="553"/>
      <c r="K14" s="721">
        <f>G14+I14</f>
        <v>-822.79625077999992</v>
      </c>
      <c r="L14" s="41"/>
      <c r="M14" s="6"/>
    </row>
    <row r="15" spans="1:13" s="9" customFormat="1" ht="24.75" customHeight="1" x14ac:dyDescent="0.2">
      <c r="B15" s="564" t="s">
        <v>289</v>
      </c>
      <c r="C15" s="563">
        <f t="shared" ref="C15:E15" si="3">C13+C14</f>
        <v>892.98964851999995</v>
      </c>
      <c r="D15" s="563">
        <f t="shared" si="3"/>
        <v>696.88331714000003</v>
      </c>
      <c r="E15" s="563">
        <f t="shared" si="3"/>
        <v>470.33109489000003</v>
      </c>
      <c r="F15" s="570">
        <f>F13+F14</f>
        <v>-21.529724759999866</v>
      </c>
      <c r="G15" s="566">
        <f>SUM(C15:F15)</f>
        <v>2038.6743357899998</v>
      </c>
      <c r="H15" s="537"/>
      <c r="I15" s="546">
        <f>I13+I14</f>
        <v>-73.526786250000001</v>
      </c>
      <c r="J15" s="553"/>
      <c r="K15" s="722">
        <f>G15+I15</f>
        <v>1965.1475495399998</v>
      </c>
      <c r="L15" s="41"/>
    </row>
    <row r="16" spans="1:13" s="9" customFormat="1" ht="24.75" customHeight="1" x14ac:dyDescent="0.2">
      <c r="B16" s="388" t="s">
        <v>290</v>
      </c>
      <c r="C16" s="557">
        <v>-44.131669160000001</v>
      </c>
      <c r="D16" s="557">
        <v>-99.236681900000008</v>
      </c>
      <c r="E16" s="557">
        <v>-0.12261372999999998</v>
      </c>
      <c r="F16" s="569">
        <v>4.1390152899999997</v>
      </c>
      <c r="G16" s="463">
        <f>SUM(C16:F16)</f>
        <v>-139.35194950000002</v>
      </c>
      <c r="H16" s="536"/>
      <c r="I16" s="545">
        <v>-42.811414950000014</v>
      </c>
      <c r="J16" s="553"/>
      <c r="K16" s="723">
        <f>G16+I16</f>
        <v>-182.16336445000002</v>
      </c>
      <c r="L16" s="41"/>
    </row>
    <row r="17" spans="2:12" s="9" customFormat="1" ht="24.75" customHeight="1" x14ac:dyDescent="0.2">
      <c r="B17" s="388" t="s">
        <v>291</v>
      </c>
      <c r="C17" s="557">
        <v>-0.17117840000000228</v>
      </c>
      <c r="D17" s="557">
        <v>-1.1096509699999997</v>
      </c>
      <c r="E17" s="557">
        <v>-0.92921848000003937</v>
      </c>
      <c r="F17" s="569">
        <v>-50.874292679999961</v>
      </c>
      <c r="G17" s="463">
        <f t="shared" ref="G17:G18" si="4">SUM(C17:F17)</f>
        <v>-53.084340530000006</v>
      </c>
      <c r="H17" s="536"/>
      <c r="I17" s="545">
        <v>-26.351980609999998</v>
      </c>
      <c r="J17" s="553"/>
      <c r="K17" s="723">
        <f t="shared" ref="K17:K18" si="5">G17+I17</f>
        <v>-79.436321140000004</v>
      </c>
      <c r="L17" s="41"/>
    </row>
    <row r="18" spans="2:12" s="9" customFormat="1" ht="24.75" customHeight="1" x14ac:dyDescent="0.2">
      <c r="B18" s="388" t="s">
        <v>292</v>
      </c>
      <c r="C18" s="459">
        <v>0</v>
      </c>
      <c r="D18" s="459">
        <v>0</v>
      </c>
      <c r="E18" s="459">
        <v>0</v>
      </c>
      <c r="F18" s="471">
        <v>-6.6643827099999999</v>
      </c>
      <c r="G18" s="463">
        <f t="shared" si="4"/>
        <v>-6.6643827099999999</v>
      </c>
      <c r="H18" s="536"/>
      <c r="I18" s="545">
        <v>11.51504186</v>
      </c>
      <c r="J18" s="553"/>
      <c r="K18" s="723">
        <f t="shared" si="5"/>
        <v>4.8506591500000003</v>
      </c>
      <c r="L18" s="41"/>
    </row>
    <row r="19" spans="2:12" s="9" customFormat="1" ht="24.75" customHeight="1" x14ac:dyDescent="0.2">
      <c r="B19" s="561" t="s">
        <v>468</v>
      </c>
      <c r="C19" s="563">
        <f>SUM(C15:C18)-30</f>
        <v>818.68680095999991</v>
      </c>
      <c r="D19" s="563">
        <f t="shared" ref="D19:E19" si="6">SUM(D15:D18)</f>
        <v>596.53698427000006</v>
      </c>
      <c r="E19" s="563">
        <f t="shared" si="6"/>
        <v>469.27926267999999</v>
      </c>
      <c r="F19" s="570">
        <f>SUM(F15:F18)</f>
        <v>-74.929384859999828</v>
      </c>
      <c r="G19" s="566">
        <f>SUM(G15:G18)-30</f>
        <v>1809.5736630499998</v>
      </c>
      <c r="H19" s="536"/>
      <c r="I19" s="546">
        <f>SUM(I15:I18)</f>
        <v>-131.17513995000002</v>
      </c>
      <c r="J19" s="553"/>
      <c r="K19" s="722">
        <f>SUM(K15:K18)-30</f>
        <v>1678.3985230999997</v>
      </c>
      <c r="L19" s="41"/>
    </row>
    <row r="20" spans="2:12" s="9" customFormat="1" ht="14.25" customHeight="1" x14ac:dyDescent="0.2">
      <c r="B20" s="558"/>
      <c r="C20" s="559"/>
      <c r="D20" s="559"/>
      <c r="E20" s="559"/>
      <c r="F20" s="571"/>
      <c r="G20" s="463"/>
      <c r="H20" s="536"/>
      <c r="I20" s="547"/>
      <c r="J20" s="553"/>
      <c r="K20" s="724"/>
      <c r="L20" s="41"/>
    </row>
    <row r="21" spans="2:12" s="9" customFormat="1" ht="24.75" customHeight="1" x14ac:dyDescent="0.2">
      <c r="B21" s="561" t="s">
        <v>360</v>
      </c>
      <c r="C21" s="562">
        <v>12153.600166030006</v>
      </c>
      <c r="D21" s="562">
        <v>26304.370174720007</v>
      </c>
      <c r="E21" s="562">
        <v>26859.368979690011</v>
      </c>
      <c r="F21" s="572">
        <v>6403.4148769302838</v>
      </c>
      <c r="G21" s="566">
        <f>SUM(C21:F21)</f>
        <v>71720.754197370305</v>
      </c>
      <c r="H21" s="555"/>
      <c r="I21" s="548">
        <v>8323.3488745900213</v>
      </c>
      <c r="J21" s="552"/>
      <c r="K21" s="722">
        <f>G21+I21</f>
        <v>80044.10307196033</v>
      </c>
    </row>
    <row r="22" spans="2:12" s="9" customFormat="1" ht="12" customHeight="1" x14ac:dyDescent="0.2">
      <c r="B22" s="558"/>
      <c r="C22" s="559"/>
      <c r="D22" s="559"/>
      <c r="E22" s="559"/>
      <c r="F22" s="571"/>
      <c r="G22" s="362"/>
      <c r="H22" s="555"/>
      <c r="I22" s="543"/>
      <c r="J22" s="552"/>
      <c r="K22" s="721"/>
    </row>
    <row r="23" spans="2:12" s="9" customFormat="1" ht="24.75" customHeight="1" x14ac:dyDescent="0.2">
      <c r="B23" s="558" t="s">
        <v>293</v>
      </c>
      <c r="C23" s="538">
        <f>C9/C21</f>
        <v>8.4948506935064408E-2</v>
      </c>
      <c r="D23" s="538">
        <f>D9/D21</f>
        <v>2.5107693091040908E-2</v>
      </c>
      <c r="E23" s="538">
        <f>E9/E21</f>
        <v>1.5988140522389747E-2</v>
      </c>
      <c r="F23" s="573">
        <f>F9/F21</f>
        <v>-1.9170069152046418E-4</v>
      </c>
      <c r="G23" s="261">
        <f>G9/G21</f>
        <v>2.9574090394852134E-2</v>
      </c>
      <c r="H23" s="556"/>
      <c r="I23" s="549">
        <f>I9/I21</f>
        <v>-3.949055968366943E-3</v>
      </c>
      <c r="J23" s="554"/>
      <c r="K23" s="725">
        <f>K9/K21</f>
        <v>2.6088201592972867E-2</v>
      </c>
    </row>
    <row r="24" spans="2:12" s="9" customFormat="1" ht="24.75" customHeight="1" x14ac:dyDescent="0.2">
      <c r="B24" s="558" t="s">
        <v>294</v>
      </c>
      <c r="C24" s="538">
        <f>(C10+C11)/C21</f>
        <v>2.3200784214386986E-2</v>
      </c>
      <c r="D24" s="538">
        <f>(D10+D11)/D21</f>
        <v>8.2593932280803067E-3</v>
      </c>
      <c r="E24" s="538">
        <f>(E10+E11)/E21</f>
        <v>5.1955156469059597E-4</v>
      </c>
      <c r="F24" s="573">
        <f>(F10+F11)/F21</f>
        <v>1.7607508691370323E-2</v>
      </c>
      <c r="G24" s="261">
        <f>(G10+G11)/G21</f>
        <v>8.7273789721657776E-3</v>
      </c>
      <c r="H24" s="539"/>
      <c r="I24" s="549">
        <f>(I10+I11)/I21</f>
        <v>1.1865196231470531E-3</v>
      </c>
      <c r="J24" s="539"/>
      <c r="K24" s="725">
        <f>(K10+K11)/K21</f>
        <v>7.9432462157568474E-3</v>
      </c>
    </row>
    <row r="25" spans="2:12" s="9" customFormat="1" ht="24.75" customHeight="1" x14ac:dyDescent="0.2">
      <c r="B25" s="558" t="s">
        <v>295</v>
      </c>
      <c r="C25" s="540">
        <f t="shared" ref="C25:K25" si="7">-C14/(C9+C10+C11)</f>
        <v>0.31939170430175279</v>
      </c>
      <c r="D25" s="540">
        <f t="shared" si="7"/>
        <v>0.20018227695947674</v>
      </c>
      <c r="E25" s="540">
        <f t="shared" si="7"/>
        <v>0.11077711083682466</v>
      </c>
      <c r="F25" s="574">
        <f>-F14/(F9+F10+F11)</f>
        <v>1.2626730551295322</v>
      </c>
      <c r="G25" s="264">
        <f t="shared" si="7"/>
        <v>0.28592563951978611</v>
      </c>
      <c r="H25" s="541"/>
      <c r="I25" s="550" t="s">
        <v>179</v>
      </c>
      <c r="J25" s="541"/>
      <c r="K25" s="726">
        <f t="shared" si="7"/>
        <v>0.30205257035317523</v>
      </c>
    </row>
    <row r="26" spans="2:12" s="9" customFormat="1" ht="24.75" customHeight="1" x14ac:dyDescent="0.2">
      <c r="B26" s="558" t="s">
        <v>296</v>
      </c>
      <c r="C26" s="538">
        <f>C15/C21</f>
        <v>7.3475318944254561E-2</v>
      </c>
      <c r="D26" s="538">
        <f>D15/D21</f>
        <v>2.6493062274866572E-2</v>
      </c>
      <c r="E26" s="538">
        <f>E15/E21</f>
        <v>1.7510876567712583E-2</v>
      </c>
      <c r="F26" s="573">
        <f>F15/F21</f>
        <v>-3.3622254958936759E-3</v>
      </c>
      <c r="G26" s="261">
        <f>G15/G21</f>
        <v>2.8425165889635184E-2</v>
      </c>
      <c r="H26" s="539"/>
      <c r="I26" s="549">
        <f>I15/I21</f>
        <v>-8.8337984335207474E-3</v>
      </c>
      <c r="J26" s="539"/>
      <c r="K26" s="725">
        <f>K15/K21</f>
        <v>2.4550809792612899E-2</v>
      </c>
    </row>
    <row r="27" spans="2:12" s="9" customFormat="1" ht="24.75" customHeight="1" x14ac:dyDescent="0.2">
      <c r="B27" s="558" t="s">
        <v>297</v>
      </c>
      <c r="C27" s="538">
        <v>4.8358145271276071E-3</v>
      </c>
      <c r="D27" s="538">
        <v>4.2445503905579789E-3</v>
      </c>
      <c r="E27" s="538">
        <v>1.5946285930994796E-4</v>
      </c>
      <c r="F27" s="573">
        <v>-4.8087378130866901E-2</v>
      </c>
      <c r="G27" s="261">
        <v>4.1771188204767495E-3</v>
      </c>
      <c r="H27" s="539"/>
      <c r="I27" s="549">
        <v>6.6842977865063458E-3</v>
      </c>
      <c r="J27" s="539"/>
      <c r="K27" s="725">
        <v>4.5809334734463617E-3</v>
      </c>
    </row>
    <row r="28" spans="2:12" s="9" customFormat="1" ht="24.75" customHeight="1" x14ac:dyDescent="0.2">
      <c r="B28" s="363" t="s">
        <v>105</v>
      </c>
      <c r="C28" s="560">
        <f>C19/C21</f>
        <v>6.7361669774876703E-2</v>
      </c>
      <c r="D28" s="560">
        <f>D19/D21</f>
        <v>2.2678246249868625E-2</v>
      </c>
      <c r="E28" s="560">
        <f>E19/E21</f>
        <v>1.7471715848382377E-2</v>
      </c>
      <c r="F28" s="575">
        <f>F19/F21</f>
        <v>-1.1701472776650703E-2</v>
      </c>
      <c r="G28" s="267">
        <f>G19/G21</f>
        <v>2.5230823118091935E-2</v>
      </c>
      <c r="H28" s="539"/>
      <c r="I28" s="551">
        <f>I19/I21</f>
        <v>-1.5759899281701229E-2</v>
      </c>
      <c r="J28" s="539"/>
      <c r="K28" s="727">
        <f>K19/K21</f>
        <v>2.0968421891005576E-2</v>
      </c>
    </row>
    <row r="29" spans="2:12" ht="11.25" customHeight="1" x14ac:dyDescent="0.2">
      <c r="B29" s="318"/>
      <c r="C29" s="318"/>
      <c r="D29" s="318"/>
      <c r="E29" s="318"/>
      <c r="F29" s="318"/>
      <c r="G29" s="318"/>
      <c r="H29" s="318"/>
      <c r="I29" s="318"/>
      <c r="J29" s="318"/>
      <c r="K29" s="318"/>
    </row>
    <row r="30" spans="2:12" x14ac:dyDescent="0.2">
      <c r="B30" s="949" t="s">
        <v>318</v>
      </c>
      <c r="C30" s="949"/>
      <c r="D30" s="949"/>
      <c r="E30" s="949"/>
      <c r="F30" s="949"/>
      <c r="G30" s="949"/>
      <c r="H30" s="949"/>
      <c r="I30" s="949"/>
      <c r="J30" s="949"/>
      <c r="K30" s="949"/>
    </row>
  </sheetData>
  <mergeCells count="2">
    <mergeCell ref="B5:K5"/>
    <mergeCell ref="B30:K30"/>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9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U38"/>
  <sheetViews>
    <sheetView showGridLines="0" view="pageBreakPreview" zoomScale="80" zoomScaleNormal="90" zoomScaleSheetLayoutView="80" workbookViewId="0">
      <pane xSplit="2" topLeftCell="C1" activePane="topRight" state="frozen"/>
      <selection activeCell="M28" sqref="M28"/>
      <selection pane="topRight" activeCell="Q20" sqref="Q20"/>
    </sheetView>
  </sheetViews>
  <sheetFormatPr defaultColWidth="9.140625" defaultRowHeight="15" customHeight="1" x14ac:dyDescent="0.2"/>
  <cols>
    <col min="1" max="1" width="2.42578125" style="20" customWidth="1"/>
    <col min="2" max="2" width="41" style="20" customWidth="1"/>
    <col min="3" max="14" width="14.5703125" style="22" customWidth="1"/>
    <col min="15" max="15" width="2.42578125" style="20" customWidth="1"/>
    <col min="16" max="16" width="9.140625" style="20"/>
    <col min="17" max="17" width="12.42578125" style="20" bestFit="1" customWidth="1"/>
    <col min="18" max="16384" width="9.140625" style="20"/>
  </cols>
  <sheetData>
    <row r="1" spans="1:21" s="23" customFormat="1" ht="15.75" customHeight="1" x14ac:dyDescent="0.35">
      <c r="B1" s="576"/>
      <c r="C1" s="576"/>
      <c r="D1" s="576"/>
      <c r="E1" s="576"/>
      <c r="F1" s="576"/>
      <c r="G1" s="576"/>
      <c r="H1" s="576"/>
      <c r="I1" s="576"/>
      <c r="J1" s="576"/>
      <c r="K1" s="576"/>
      <c r="L1" s="576"/>
      <c r="M1" s="576"/>
      <c r="N1" s="576"/>
    </row>
    <row r="2" spans="1:21" s="23" customFormat="1" ht="15.75" customHeight="1" x14ac:dyDescent="0.35">
      <c r="B2" s="576"/>
      <c r="C2" s="576"/>
      <c r="D2" s="576"/>
      <c r="E2" s="576"/>
      <c r="F2" s="576"/>
      <c r="G2" s="576"/>
      <c r="H2" s="576"/>
      <c r="I2" s="576"/>
      <c r="J2" s="576"/>
      <c r="K2" s="576"/>
      <c r="L2" s="576"/>
      <c r="M2" s="576"/>
      <c r="N2" s="577" t="s">
        <v>20</v>
      </c>
    </row>
    <row r="3" spans="1:21" s="23" customFormat="1" ht="15.75" customHeight="1" x14ac:dyDescent="0.35">
      <c r="B3" s="576"/>
      <c r="C3" s="576"/>
      <c r="D3" s="576"/>
      <c r="E3" s="576"/>
      <c r="F3" s="576"/>
      <c r="G3" s="576"/>
      <c r="H3" s="576"/>
      <c r="I3" s="576"/>
      <c r="J3" s="576"/>
      <c r="K3" s="576"/>
      <c r="L3" s="576"/>
      <c r="M3" s="576"/>
      <c r="N3" s="576"/>
    </row>
    <row r="4" spans="1:21" s="24" customFormat="1" ht="15.75" customHeight="1" x14ac:dyDescent="0.3">
      <c r="B4" s="578"/>
      <c r="C4" s="578"/>
      <c r="D4" s="578"/>
      <c r="E4" s="578"/>
      <c r="F4" s="578"/>
      <c r="G4" s="578"/>
      <c r="H4" s="578"/>
      <c r="I4" s="578"/>
      <c r="J4" s="578"/>
      <c r="K4" s="578"/>
      <c r="L4" s="578"/>
      <c r="M4" s="578"/>
      <c r="N4" s="578"/>
    </row>
    <row r="5" spans="1:21" ht="28.5" x14ac:dyDescent="0.2">
      <c r="A5" s="16"/>
      <c r="B5" s="937" t="s">
        <v>110</v>
      </c>
      <c r="C5" s="937"/>
      <c r="D5" s="937"/>
      <c r="E5" s="937"/>
      <c r="F5" s="937"/>
      <c r="G5" s="937"/>
      <c r="H5" s="937"/>
      <c r="I5" s="937"/>
      <c r="J5" s="937"/>
      <c r="K5" s="937"/>
      <c r="L5" s="937"/>
      <c r="M5" s="937"/>
      <c r="N5" s="937"/>
    </row>
    <row r="6" spans="1:21" ht="9" customHeight="1" x14ac:dyDescent="0.2">
      <c r="A6" s="16"/>
      <c r="B6" s="127"/>
      <c r="C6" s="127"/>
      <c r="D6" s="127"/>
      <c r="E6" s="127"/>
      <c r="F6" s="127"/>
      <c r="G6" s="127"/>
      <c r="H6" s="127"/>
      <c r="I6" s="127"/>
      <c r="J6" s="127"/>
      <c r="K6" s="127"/>
      <c r="L6" s="127"/>
      <c r="M6" s="127"/>
      <c r="N6" s="127"/>
    </row>
    <row r="7" spans="1:21" ht="11.25" customHeight="1" x14ac:dyDescent="0.2">
      <c r="A7" s="18"/>
      <c r="B7" s="533"/>
      <c r="C7" s="533"/>
      <c r="D7" s="533"/>
      <c r="E7" s="533"/>
      <c r="F7" s="533"/>
      <c r="G7" s="533"/>
      <c r="H7" s="533"/>
      <c r="I7" s="533"/>
      <c r="J7" s="533"/>
      <c r="K7" s="533"/>
      <c r="L7" s="533"/>
      <c r="M7" s="533"/>
      <c r="N7" s="533"/>
    </row>
    <row r="8" spans="1:21" s="23" customFormat="1" ht="11.25" customHeight="1" x14ac:dyDescent="0.35">
      <c r="B8" s="576"/>
      <c r="C8" s="579"/>
      <c r="D8" s="579"/>
      <c r="E8" s="579"/>
      <c r="F8" s="579"/>
      <c r="G8" s="579"/>
      <c r="H8" s="579"/>
      <c r="I8" s="579"/>
      <c r="J8" s="579"/>
      <c r="K8" s="579"/>
      <c r="L8" s="579"/>
      <c r="M8" s="579"/>
      <c r="N8" s="579"/>
    </row>
    <row r="9" spans="1:21" s="23" customFormat="1" ht="28.5" customHeight="1" x14ac:dyDescent="0.25">
      <c r="B9" s="586"/>
      <c r="C9" s="587">
        <v>44651</v>
      </c>
      <c r="D9" s="587">
        <v>44742</v>
      </c>
      <c r="E9" s="587">
        <v>44834</v>
      </c>
      <c r="F9" s="587">
        <v>44926</v>
      </c>
      <c r="G9" s="587">
        <v>45016</v>
      </c>
      <c r="H9" s="587">
        <v>45107</v>
      </c>
      <c r="I9" s="587">
        <v>45199</v>
      </c>
      <c r="J9" s="587">
        <v>45291</v>
      </c>
      <c r="K9" s="587">
        <v>45382</v>
      </c>
      <c r="L9" s="587">
        <v>45473</v>
      </c>
      <c r="M9" s="600">
        <v>45565</v>
      </c>
      <c r="N9" s="588">
        <v>45657</v>
      </c>
    </row>
    <row r="10" spans="1:21" s="25" customFormat="1" ht="20.25" customHeight="1" x14ac:dyDescent="0.35">
      <c r="B10" s="589" t="s">
        <v>119</v>
      </c>
      <c r="C10" s="583"/>
      <c r="D10" s="583"/>
      <c r="E10" s="583"/>
      <c r="F10" s="583"/>
      <c r="G10" s="583"/>
      <c r="H10" s="583"/>
      <c r="I10" s="590"/>
      <c r="J10" s="583"/>
      <c r="K10" s="583"/>
      <c r="L10" s="590"/>
      <c r="M10" s="846"/>
      <c r="N10" s="591"/>
      <c r="Q10" s="761"/>
    </row>
    <row r="11" spans="1:21" s="25" customFormat="1" ht="20.25" customHeight="1" x14ac:dyDescent="0.35">
      <c r="B11" s="592" t="s">
        <v>298</v>
      </c>
      <c r="C11" s="583">
        <v>17905.000095090007</v>
      </c>
      <c r="D11" s="583">
        <v>19098.747220669567</v>
      </c>
      <c r="E11" s="583">
        <v>19984.738742453286</v>
      </c>
      <c r="F11" s="583">
        <v>20514.445660423495</v>
      </c>
      <c r="G11" s="583">
        <v>20383.713875636407</v>
      </c>
      <c r="H11" s="583">
        <v>21105.375983716935</v>
      </c>
      <c r="I11" s="590">
        <v>21515.487456171279</v>
      </c>
      <c r="J11" s="583">
        <v>22337.0366032124</v>
      </c>
      <c r="K11" s="583">
        <v>22236.156401214306</v>
      </c>
      <c r="L11" s="590">
        <v>23518.711968549593</v>
      </c>
      <c r="M11" s="846">
        <v>24205.606308614799</v>
      </c>
      <c r="N11" s="591">
        <v>25894.374609311682</v>
      </c>
      <c r="P11" s="50"/>
      <c r="Q11" s="930"/>
      <c r="R11" s="50"/>
      <c r="S11" s="50"/>
    </row>
    <row r="12" spans="1:21" s="25" customFormat="1" ht="20.25" customHeight="1" x14ac:dyDescent="0.35">
      <c r="B12" s="593" t="s">
        <v>299</v>
      </c>
      <c r="C12" s="584">
        <f t="shared" ref="C12:E12" si="0">C11-C13-C14-C15</f>
        <v>7922.1791230200042</v>
      </c>
      <c r="D12" s="584">
        <f t="shared" si="0"/>
        <v>8464.0991213295674</v>
      </c>
      <c r="E12" s="584">
        <f t="shared" si="0"/>
        <v>9077.2356765832919</v>
      </c>
      <c r="F12" s="584">
        <f>F11-F13-F14-F15</f>
        <v>9342.9806932934898</v>
      </c>
      <c r="G12" s="584">
        <f t="shared" ref="G12" si="1">G11-G13-G14-G15</f>
        <v>9281.8161640464004</v>
      </c>
      <c r="H12" s="584">
        <f t="shared" ref="H12" si="2">H11-H13-H14-H15</f>
        <v>9745.6582291369305</v>
      </c>
      <c r="I12" s="594">
        <f t="shared" ref="I12" si="3">I11-I13-I14-I15</f>
        <v>10065.280643251277</v>
      </c>
      <c r="J12" s="584">
        <f t="shared" ref="J12" si="4">J11-J13-J14-J15</f>
        <v>10523.980135152398</v>
      </c>
      <c r="K12" s="584">
        <f t="shared" ref="K12" si="5">K11-K13-K14-K15</f>
        <v>10581.835123744306</v>
      </c>
      <c r="L12" s="594">
        <f t="shared" ref="L12" si="6">L11-L13-L14-L15</f>
        <v>11033.950242489589</v>
      </c>
      <c r="M12" s="848">
        <f t="shared" ref="M12:N12" si="7">M11-M13-M14-M15</f>
        <v>11842.633778324784</v>
      </c>
      <c r="N12" s="595">
        <f t="shared" si="7"/>
        <v>13025.036070451675</v>
      </c>
      <c r="P12" s="102"/>
      <c r="Q12" s="930"/>
      <c r="R12" s="50"/>
      <c r="S12" s="50"/>
      <c r="U12" s="759"/>
    </row>
    <row r="13" spans="1:21" s="25" customFormat="1" ht="20.25" customHeight="1" x14ac:dyDescent="0.35">
      <c r="B13" s="593" t="s">
        <v>111</v>
      </c>
      <c r="C13" s="584">
        <v>6069.6412972400021</v>
      </c>
      <c r="D13" s="584">
        <v>6349.4944474100021</v>
      </c>
      <c r="E13" s="584">
        <v>6377.9192389699929</v>
      </c>
      <c r="F13" s="584">
        <v>6772.1234731200057</v>
      </c>
      <c r="G13" s="584">
        <v>6694.1187481200059</v>
      </c>
      <c r="H13" s="584">
        <v>6832.391938460004</v>
      </c>
      <c r="I13" s="594">
        <v>6796.5263917200018</v>
      </c>
      <c r="J13" s="584">
        <v>7081.0268142800005</v>
      </c>
      <c r="K13" s="584">
        <v>6887.6299575700004</v>
      </c>
      <c r="L13" s="594">
        <v>7189.9548364700013</v>
      </c>
      <c r="M13" s="848">
        <v>7159.8794932700157</v>
      </c>
      <c r="N13" s="595">
        <v>7315.2876372000082</v>
      </c>
      <c r="P13" s="102"/>
      <c r="Q13" s="66"/>
      <c r="R13" s="50"/>
      <c r="U13" s="81"/>
    </row>
    <row r="14" spans="1:21" s="25" customFormat="1" ht="20.25" customHeight="1" x14ac:dyDescent="0.35">
      <c r="B14" s="593" t="s">
        <v>113</v>
      </c>
      <c r="C14" s="584">
        <v>2043.2340201699999</v>
      </c>
      <c r="D14" s="584">
        <v>2247.9220863999999</v>
      </c>
      <c r="E14" s="584">
        <v>2510.7680648400001</v>
      </c>
      <c r="F14" s="584">
        <v>2344.9555170499998</v>
      </c>
      <c r="G14" s="584">
        <v>2407.4997594500005</v>
      </c>
      <c r="H14" s="584">
        <v>2344.1885000699999</v>
      </c>
      <c r="I14" s="594">
        <v>2455.9835172100002</v>
      </c>
      <c r="J14" s="584">
        <v>2476.2879172100002</v>
      </c>
      <c r="K14" s="584">
        <v>2525.2433058999995</v>
      </c>
      <c r="L14" s="594">
        <v>2990.9356095900002</v>
      </c>
      <c r="M14" s="848">
        <v>2911.2199500799993</v>
      </c>
      <c r="N14" s="595">
        <v>3079.1959298500001</v>
      </c>
      <c r="P14" s="102"/>
      <c r="Q14" s="50"/>
      <c r="R14" s="50"/>
      <c r="S14" s="50"/>
    </row>
    <row r="15" spans="1:21" s="25" customFormat="1" ht="20.25" customHeight="1" x14ac:dyDescent="0.35">
      <c r="B15" s="593" t="s">
        <v>112</v>
      </c>
      <c r="C15" s="584">
        <v>1869.9456546600006</v>
      </c>
      <c r="D15" s="584">
        <v>2037.2315655299994</v>
      </c>
      <c r="E15" s="584">
        <v>2018.8157620600007</v>
      </c>
      <c r="F15" s="584">
        <v>2054.3859769600008</v>
      </c>
      <c r="G15" s="584">
        <v>2000.2792040200002</v>
      </c>
      <c r="H15" s="584">
        <v>2183.1373160499993</v>
      </c>
      <c r="I15" s="594">
        <v>2197.6969039899996</v>
      </c>
      <c r="J15" s="584">
        <v>2255.7417365699998</v>
      </c>
      <c r="K15" s="584">
        <v>2241.4480140000005</v>
      </c>
      <c r="L15" s="594">
        <v>2303.8712800000012</v>
      </c>
      <c r="M15" s="848">
        <v>2291.8730869399997</v>
      </c>
      <c r="N15" s="595">
        <v>2474.8549718099994</v>
      </c>
      <c r="P15" s="102"/>
      <c r="Q15" s="50"/>
      <c r="R15" s="50"/>
      <c r="S15" s="50"/>
    </row>
    <row r="16" spans="1:21" s="25" customFormat="1" ht="20.25" customHeight="1" x14ac:dyDescent="0.35">
      <c r="B16" s="592" t="s">
        <v>300</v>
      </c>
      <c r="C16" s="583">
        <f t="shared" ref="C16:F16" si="8">+C17+C18</f>
        <v>8348.7451683199743</v>
      </c>
      <c r="D16" s="583">
        <f t="shared" si="8"/>
        <v>8357.1500721099819</v>
      </c>
      <c r="E16" s="583">
        <f t="shared" si="8"/>
        <v>8298.8869475100037</v>
      </c>
      <c r="F16" s="583">
        <f t="shared" si="8"/>
        <v>8119.1589698599137</v>
      </c>
      <c r="G16" s="583">
        <f t="shared" ref="G16" si="9">+G17+G18</f>
        <v>7964.6417155700037</v>
      </c>
      <c r="H16" s="583">
        <f t="shared" ref="H16" si="10">+H17+H18</f>
        <v>7882.2077686799548</v>
      </c>
      <c r="I16" s="590">
        <f t="shared" ref="I16" si="11">+I17+I18</f>
        <v>7836.4035779199885</v>
      </c>
      <c r="J16" s="583">
        <f t="shared" ref="J16" si="12">+J17+J18</f>
        <v>7796.9199076700161</v>
      </c>
      <c r="K16" s="583">
        <f t="shared" ref="K16" si="13">+K17+K18</f>
        <v>7756.5411244300494</v>
      </c>
      <c r="L16" s="590">
        <f t="shared" ref="L16" si="14">+L17+L18</f>
        <v>7767.6559861499918</v>
      </c>
      <c r="M16" s="846">
        <f t="shared" ref="M16:N16" si="15">+M17+M18</f>
        <v>7781.3331347799849</v>
      </c>
      <c r="N16" s="591">
        <f t="shared" si="15"/>
        <v>7821.979095760119</v>
      </c>
      <c r="P16" s="50"/>
      <c r="Q16" s="50"/>
      <c r="R16" s="50"/>
      <c r="S16" s="50"/>
    </row>
    <row r="17" spans="2:19" s="25" customFormat="1" ht="20.25" customHeight="1" x14ac:dyDescent="0.35">
      <c r="B17" s="593" t="s">
        <v>114</v>
      </c>
      <c r="C17" s="584">
        <v>6668.1140921099886</v>
      </c>
      <c r="D17" s="584">
        <v>6632.0461390599839</v>
      </c>
      <c r="E17" s="584">
        <v>6575.1606455600113</v>
      </c>
      <c r="F17" s="584">
        <v>6490.8475559799444</v>
      </c>
      <c r="G17" s="584">
        <v>6359.2653837400221</v>
      </c>
      <c r="H17" s="584">
        <v>6261.5478573899682</v>
      </c>
      <c r="I17" s="594">
        <v>6196.5699702999837</v>
      </c>
      <c r="J17" s="584">
        <v>6202.9458829600107</v>
      </c>
      <c r="K17" s="584">
        <v>6161.187211230028</v>
      </c>
      <c r="L17" s="594">
        <v>6132.6417113399948</v>
      </c>
      <c r="M17" s="848">
        <v>6120.0250055500019</v>
      </c>
      <c r="N17" s="595">
        <v>6097.4436284701369</v>
      </c>
      <c r="P17" s="50"/>
      <c r="Q17" s="50"/>
      <c r="R17" s="50"/>
      <c r="S17" s="50"/>
    </row>
    <row r="18" spans="2:19" s="25" customFormat="1" ht="20.25" customHeight="1" x14ac:dyDescent="0.35">
      <c r="B18" s="593" t="s">
        <v>127</v>
      </c>
      <c r="C18" s="584">
        <v>1680.6310762099856</v>
      </c>
      <c r="D18" s="584">
        <v>1725.1039330499984</v>
      </c>
      <c r="E18" s="584">
        <v>1723.7263019499921</v>
      </c>
      <c r="F18" s="584">
        <v>1628.311413879969</v>
      </c>
      <c r="G18" s="584">
        <v>1605.3763318299812</v>
      </c>
      <c r="H18" s="584">
        <v>1620.6599112899867</v>
      </c>
      <c r="I18" s="594">
        <v>1639.8336076200046</v>
      </c>
      <c r="J18" s="584">
        <v>1593.9740247100056</v>
      </c>
      <c r="K18" s="584">
        <v>1595.3539132000217</v>
      </c>
      <c r="L18" s="594">
        <v>1635.0142748099968</v>
      </c>
      <c r="M18" s="848">
        <v>1661.308129229983</v>
      </c>
      <c r="N18" s="595">
        <v>1724.5354672899823</v>
      </c>
      <c r="P18" s="50"/>
      <c r="Q18" s="50"/>
      <c r="R18" s="50"/>
    </row>
    <row r="19" spans="2:19" s="25" customFormat="1" ht="20.25" customHeight="1" x14ac:dyDescent="0.35">
      <c r="B19" s="592" t="s">
        <v>137</v>
      </c>
      <c r="C19" s="583">
        <v>6182</v>
      </c>
      <c r="D19" s="583">
        <v>6131.1678308704404</v>
      </c>
      <c r="E19" s="583">
        <v>6108.7819081267126</v>
      </c>
      <c r="F19" s="583">
        <v>6074.4239423764802</v>
      </c>
      <c r="G19" s="583">
        <v>6034.0444514236096</v>
      </c>
      <c r="H19" s="583">
        <v>5951.678018693071</v>
      </c>
      <c r="I19" s="590">
        <v>5900.8357836587293</v>
      </c>
      <c r="J19" s="583">
        <v>5984.423639567588</v>
      </c>
      <c r="K19" s="583">
        <v>5902.6959318857143</v>
      </c>
      <c r="L19" s="590">
        <v>5848.6639154404074</v>
      </c>
      <c r="M19" s="846">
        <v>5787.4663144752458</v>
      </c>
      <c r="N19" s="591">
        <v>5721.6914667183264</v>
      </c>
      <c r="P19" s="50"/>
      <c r="Q19" s="50"/>
      <c r="R19" s="50"/>
    </row>
    <row r="20" spans="2:19" s="25" customFormat="1" ht="20.25" customHeight="1" x14ac:dyDescent="0.35">
      <c r="B20" s="592" t="s">
        <v>86</v>
      </c>
      <c r="C20" s="583">
        <f t="shared" ref="C20:F20" si="16">+C11+C16+C19</f>
        <v>32435.745263409983</v>
      </c>
      <c r="D20" s="583">
        <f t="shared" si="16"/>
        <v>33587.065123649991</v>
      </c>
      <c r="E20" s="583">
        <f t="shared" si="16"/>
        <v>34392.407598090002</v>
      </c>
      <c r="F20" s="583">
        <f t="shared" si="16"/>
        <v>34708.028572659889</v>
      </c>
      <c r="G20" s="583">
        <f t="shared" ref="G20" si="17">+G11+G16+G19</f>
        <v>34382.400042630019</v>
      </c>
      <c r="H20" s="583">
        <f t="shared" ref="H20" si="18">+H11+H16+H19</f>
        <v>34939.261771089958</v>
      </c>
      <c r="I20" s="590">
        <f t="shared" ref="I20:N20" si="19">+I11+I16+I19</f>
        <v>35252.726817749994</v>
      </c>
      <c r="J20" s="583">
        <f t="shared" si="19"/>
        <v>36118.380150450008</v>
      </c>
      <c r="K20" s="583">
        <f t="shared" si="19"/>
        <v>35895.393457530066</v>
      </c>
      <c r="L20" s="590">
        <f t="shared" si="19"/>
        <v>37135.031870139996</v>
      </c>
      <c r="M20" s="846">
        <f>+M11+M16+M19</f>
        <v>37774.40575787003</v>
      </c>
      <c r="N20" s="591">
        <f t="shared" si="19"/>
        <v>39438.045171790131</v>
      </c>
      <c r="P20" s="50"/>
      <c r="Q20" s="50"/>
      <c r="R20" s="50"/>
    </row>
    <row r="21" spans="2:19" s="25" customFormat="1" ht="20.25" customHeight="1" x14ac:dyDescent="0.35">
      <c r="B21" s="592"/>
      <c r="C21" s="583"/>
      <c r="D21" s="583"/>
      <c r="E21" s="583"/>
      <c r="F21" s="583"/>
      <c r="G21" s="583"/>
      <c r="H21" s="583"/>
      <c r="I21" s="590"/>
      <c r="J21" s="583"/>
      <c r="K21" s="583"/>
      <c r="L21" s="590"/>
      <c r="M21" s="846"/>
      <c r="N21" s="591"/>
      <c r="S21" s="50"/>
    </row>
    <row r="22" spans="2:19" s="25" customFormat="1" ht="20.25" customHeight="1" x14ac:dyDescent="0.35">
      <c r="B22" s="589" t="s">
        <v>115</v>
      </c>
      <c r="C22" s="584"/>
      <c r="D22" s="584"/>
      <c r="E22" s="584"/>
      <c r="F22" s="584"/>
      <c r="G22" s="584"/>
      <c r="H22" s="584"/>
      <c r="I22" s="594"/>
      <c r="J22" s="584"/>
      <c r="K22" s="584"/>
      <c r="L22" s="594"/>
      <c r="M22" s="848"/>
      <c r="N22" s="595"/>
      <c r="R22" s="50"/>
    </row>
    <row r="23" spans="2:19" s="25" customFormat="1" ht="20.25" customHeight="1" x14ac:dyDescent="0.35">
      <c r="B23" s="593" t="s">
        <v>116</v>
      </c>
      <c r="C23" s="584">
        <v>3044</v>
      </c>
      <c r="D23" s="584">
        <v>3276</v>
      </c>
      <c r="E23" s="584">
        <v>3393</v>
      </c>
      <c r="F23" s="584">
        <v>3487</v>
      </c>
      <c r="G23" s="584">
        <v>3326</v>
      </c>
      <c r="H23" s="584">
        <v>3347</v>
      </c>
      <c r="I23" s="594">
        <v>3226</v>
      </c>
      <c r="J23" s="584">
        <v>3297.2258022699971</v>
      </c>
      <c r="K23" s="584">
        <v>2939.058291159999</v>
      </c>
      <c r="L23" s="594">
        <v>3268.3964427200003</v>
      </c>
      <c r="M23" s="848">
        <v>3100</v>
      </c>
      <c r="N23" s="595">
        <v>3397</v>
      </c>
      <c r="Q23" s="907"/>
      <c r="R23" s="50"/>
    </row>
    <row r="24" spans="2:19" s="25" customFormat="1" ht="20.25" customHeight="1" x14ac:dyDescent="0.35">
      <c r="B24" s="593" t="s">
        <v>117</v>
      </c>
      <c r="C24" s="584">
        <v>1774</v>
      </c>
      <c r="D24" s="584">
        <v>1789</v>
      </c>
      <c r="E24" s="584">
        <v>1927</v>
      </c>
      <c r="F24" s="584">
        <v>2083</v>
      </c>
      <c r="G24" s="584">
        <v>2116</v>
      </c>
      <c r="H24" s="584">
        <v>2265</v>
      </c>
      <c r="I24" s="594">
        <v>2246</v>
      </c>
      <c r="J24" s="584">
        <v>2291.2853722699997</v>
      </c>
      <c r="K24" s="584">
        <v>2333.9914161099987</v>
      </c>
      <c r="L24" s="594">
        <v>2353.6150409099992</v>
      </c>
      <c r="M24" s="848">
        <v>2572</v>
      </c>
      <c r="N24" s="595">
        <v>2571</v>
      </c>
      <c r="Q24" s="907"/>
      <c r="R24" s="50"/>
    </row>
    <row r="25" spans="2:19" s="25" customFormat="1" ht="20.25" customHeight="1" x14ac:dyDescent="0.35">
      <c r="B25" s="593" t="s">
        <v>118</v>
      </c>
      <c r="C25" s="584">
        <v>1572</v>
      </c>
      <c r="D25" s="584">
        <v>1751</v>
      </c>
      <c r="E25" s="584">
        <v>1863</v>
      </c>
      <c r="F25" s="584">
        <v>1978</v>
      </c>
      <c r="G25" s="584">
        <v>1992</v>
      </c>
      <c r="H25" s="584">
        <v>2109</v>
      </c>
      <c r="I25" s="594">
        <v>2337</v>
      </c>
      <c r="J25" s="584">
        <v>2567.2187595700007</v>
      </c>
      <c r="K25" s="584">
        <v>2538.7364932999999</v>
      </c>
      <c r="L25" s="594">
        <v>2561.7796666800004</v>
      </c>
      <c r="M25" s="848">
        <v>2960</v>
      </c>
      <c r="N25" s="595">
        <v>3104</v>
      </c>
      <c r="Q25" s="907"/>
      <c r="R25" s="50"/>
    </row>
    <row r="26" spans="2:19" s="25" customFormat="1" ht="20.25" customHeight="1" x14ac:dyDescent="0.35">
      <c r="B26" s="593" t="s">
        <v>301</v>
      </c>
      <c r="C26" s="584">
        <v>1955</v>
      </c>
      <c r="D26" s="584">
        <v>2089</v>
      </c>
      <c r="E26" s="584">
        <v>2065</v>
      </c>
      <c r="F26" s="584">
        <v>2188</v>
      </c>
      <c r="G26" s="584">
        <v>2210</v>
      </c>
      <c r="H26" s="584">
        <v>2413</v>
      </c>
      <c r="I26" s="594">
        <v>2388</v>
      </c>
      <c r="J26" s="584">
        <v>2429.5137425900007</v>
      </c>
      <c r="K26" s="584">
        <v>2551.0763313800035</v>
      </c>
      <c r="L26" s="594">
        <v>2677.5861599699992</v>
      </c>
      <c r="M26" s="848">
        <v>2643</v>
      </c>
      <c r="N26" s="595">
        <v>2486</v>
      </c>
      <c r="Q26" s="907"/>
      <c r="R26" s="50"/>
    </row>
    <row r="27" spans="2:19" s="25" customFormat="1" ht="20.25" customHeight="1" x14ac:dyDescent="0.35">
      <c r="B27" s="593" t="s">
        <v>302</v>
      </c>
      <c r="C27" s="584">
        <v>1282</v>
      </c>
      <c r="D27" s="584">
        <v>1371</v>
      </c>
      <c r="E27" s="584">
        <v>1713</v>
      </c>
      <c r="F27" s="584">
        <v>1862</v>
      </c>
      <c r="G27" s="584">
        <v>1921</v>
      </c>
      <c r="H27" s="584">
        <v>1954</v>
      </c>
      <c r="I27" s="594">
        <v>1997</v>
      </c>
      <c r="J27" s="584">
        <v>1956.6577410400005</v>
      </c>
      <c r="K27" s="584">
        <v>1956.5871280899996</v>
      </c>
      <c r="L27" s="594">
        <v>2004.6094873899999</v>
      </c>
      <c r="M27" s="848">
        <v>1943</v>
      </c>
      <c r="N27" s="595">
        <v>2112</v>
      </c>
      <c r="Q27" s="907"/>
      <c r="R27" s="50"/>
    </row>
    <row r="28" spans="2:19" s="25" customFormat="1" ht="20.25" customHeight="1" x14ac:dyDescent="0.35">
      <c r="B28" s="593" t="s">
        <v>303</v>
      </c>
      <c r="C28" s="584">
        <v>2796</v>
      </c>
      <c r="D28" s="584">
        <v>2974</v>
      </c>
      <c r="E28" s="584">
        <v>3228</v>
      </c>
      <c r="F28" s="584">
        <v>3112</v>
      </c>
      <c r="G28" s="584">
        <v>3247</v>
      </c>
      <c r="H28" s="584">
        <v>3179</v>
      </c>
      <c r="I28" s="594">
        <v>3324</v>
      </c>
      <c r="J28" s="584">
        <v>3354.642989240001</v>
      </c>
      <c r="K28" s="584">
        <v>3493.3578696599993</v>
      </c>
      <c r="L28" s="594">
        <v>3950.9161177400006</v>
      </c>
      <c r="M28" s="848">
        <v>4147</v>
      </c>
      <c r="N28" s="595">
        <v>4851</v>
      </c>
      <c r="Q28" s="907"/>
      <c r="R28" s="50"/>
    </row>
    <row r="29" spans="2:19" s="25" customFormat="1" ht="20.25" customHeight="1" x14ac:dyDescent="0.35">
      <c r="B29" s="593" t="s">
        <v>41</v>
      </c>
      <c r="C29" s="584">
        <v>3612</v>
      </c>
      <c r="D29" s="584">
        <v>3812</v>
      </c>
      <c r="E29" s="584">
        <v>3777</v>
      </c>
      <c r="F29" s="584">
        <v>3750</v>
      </c>
      <c r="G29" s="584">
        <f t="shared" ref="G29:K29" si="20">G12+G13+G14-SUM(G23:G28)</f>
        <v>3571.4346716164073</v>
      </c>
      <c r="H29" s="584">
        <f t="shared" si="20"/>
        <v>3655.2386676669339</v>
      </c>
      <c r="I29" s="594">
        <f t="shared" si="20"/>
        <v>3799.7905521812791</v>
      </c>
      <c r="J29" s="584">
        <f t="shared" si="20"/>
        <v>4184.7504596623985</v>
      </c>
      <c r="K29" s="584">
        <f t="shared" si="20"/>
        <v>4181.9008575143034</v>
      </c>
      <c r="L29" s="594">
        <f t="shared" ref="L29" si="21">L12+L13+L14-SUM(L23:L28)</f>
        <v>4397.9377731395871</v>
      </c>
      <c r="M29" s="848">
        <f t="shared" ref="M29" si="22">M12+M13+M14-SUM(M23:M28)</f>
        <v>4548.7332216747964</v>
      </c>
      <c r="N29" s="595">
        <f>N12+N13+N14-SUM(N23:N28)</f>
        <v>4898.5196375016822</v>
      </c>
      <c r="Q29" s="907"/>
      <c r="R29" s="50"/>
    </row>
    <row r="30" spans="2:19" s="25" customFormat="1" ht="20.25" customHeight="1" x14ac:dyDescent="0.35">
      <c r="B30" s="592" t="s">
        <v>469</v>
      </c>
      <c r="C30" s="583">
        <f t="shared" ref="C30:F30" si="23">SUM(C23:C29)</f>
        <v>16035</v>
      </c>
      <c r="D30" s="583">
        <f t="shared" si="23"/>
        <v>17062</v>
      </c>
      <c r="E30" s="583">
        <f t="shared" si="23"/>
        <v>17966</v>
      </c>
      <c r="F30" s="583">
        <f t="shared" si="23"/>
        <v>18460</v>
      </c>
      <c r="G30" s="583">
        <f t="shared" ref="G30:K30" si="24">SUM(G23:G29)</f>
        <v>18383.434671616407</v>
      </c>
      <c r="H30" s="583">
        <f t="shared" si="24"/>
        <v>18922.238667666934</v>
      </c>
      <c r="I30" s="590">
        <f t="shared" si="24"/>
        <v>19317.790552181279</v>
      </c>
      <c r="J30" s="583">
        <f t="shared" si="24"/>
        <v>20081.294866642398</v>
      </c>
      <c r="K30" s="583">
        <f t="shared" si="24"/>
        <v>19994.708387214305</v>
      </c>
      <c r="L30" s="590">
        <f t="shared" ref="L30" si="25">SUM(L23:L29)</f>
        <v>21214.84068854959</v>
      </c>
      <c r="M30" s="846">
        <f t="shared" ref="M30:N30" si="26">SUM(M23:M29)</f>
        <v>21913.733221674796</v>
      </c>
      <c r="N30" s="591">
        <f t="shared" si="26"/>
        <v>23419.519637501682</v>
      </c>
      <c r="P30" s="50"/>
      <c r="Q30" s="907"/>
      <c r="R30" s="50"/>
    </row>
    <row r="31" spans="2:19" s="25" customFormat="1" ht="20.25" customHeight="1" x14ac:dyDescent="0.35">
      <c r="B31" s="596"/>
      <c r="C31" s="597"/>
      <c r="D31" s="597"/>
      <c r="E31" s="597"/>
      <c r="F31" s="597"/>
      <c r="G31" s="597"/>
      <c r="H31" s="597"/>
      <c r="I31" s="598"/>
      <c r="J31" s="597"/>
      <c r="K31" s="597"/>
      <c r="L31" s="598"/>
      <c r="M31" s="779"/>
      <c r="N31" s="599"/>
      <c r="Q31" s="50"/>
    </row>
    <row r="32" spans="2:19" s="26" customFormat="1" ht="11.25" customHeight="1" x14ac:dyDescent="0.35">
      <c r="B32" s="580"/>
      <c r="C32" s="581"/>
      <c r="D32" s="581"/>
      <c r="E32" s="581"/>
      <c r="F32" s="581"/>
      <c r="G32" s="581"/>
      <c r="H32" s="581"/>
      <c r="I32" s="581"/>
      <c r="J32" s="581"/>
      <c r="K32" s="581"/>
      <c r="L32" s="581"/>
      <c r="M32" s="581"/>
      <c r="N32" s="581"/>
    </row>
    <row r="33" spans="1:15" s="15" customFormat="1" ht="20.25" customHeight="1" x14ac:dyDescent="0.2">
      <c r="B33" s="766" t="s">
        <v>603</v>
      </c>
      <c r="C33" s="585"/>
      <c r="D33" s="585"/>
      <c r="E33" s="585"/>
      <c r="F33" s="585"/>
      <c r="G33" s="585"/>
      <c r="H33" s="585"/>
      <c r="I33" s="582"/>
      <c r="J33" s="582"/>
      <c r="K33" s="582"/>
      <c r="L33" s="582"/>
      <c r="M33" s="582"/>
      <c r="N33" s="582"/>
    </row>
    <row r="34" spans="1:15" s="22" customFormat="1" ht="11.25" customHeight="1" x14ac:dyDescent="0.2">
      <c r="A34" s="20"/>
      <c r="B34" s="43"/>
    </row>
    <row r="35" spans="1:15" s="22" customFormat="1" ht="21" customHeight="1" x14ac:dyDescent="0.2">
      <c r="A35" s="20"/>
      <c r="B35" s="43"/>
    </row>
    <row r="37" spans="1:15" ht="15" customHeight="1" x14ac:dyDescent="0.2">
      <c r="C37" s="46"/>
      <c r="D37" s="46"/>
      <c r="E37" s="46"/>
      <c r="F37" s="46"/>
      <c r="G37" s="46"/>
      <c r="H37" s="46"/>
      <c r="I37" s="46"/>
      <c r="J37" s="46"/>
      <c r="K37" s="46"/>
      <c r="L37" s="46"/>
      <c r="M37" s="46"/>
      <c r="N37" s="46"/>
      <c r="O37" s="46"/>
    </row>
    <row r="38" spans="1:15" ht="15" customHeight="1" x14ac:dyDescent="0.2">
      <c r="O38" s="22"/>
    </row>
  </sheetData>
  <mergeCells count="1">
    <mergeCell ref="B5:N5"/>
  </mergeCells>
  <hyperlinks>
    <hyperlink ref="N2" location="'Cover '!A1" display="Back to Cover" xr:uid="{74B85B39-0808-422C-BD95-110F6A0F32CD}"/>
  </hyperlinks>
  <printOptions horizontalCentered="1" verticalCentered="1"/>
  <pageMargins left="0" right="0" top="0" bottom="0" header="0" footer="0"/>
  <pageSetup paperSize="8" scale="96" orientation="landscape" r:id="rId1"/>
  <headerFooter alignWithMargins="0"/>
  <ignoredErrors>
    <ignoredError sqref="M2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T80"/>
  <sheetViews>
    <sheetView showGridLines="0" view="pageBreakPreview" zoomScale="80" zoomScaleNormal="90" zoomScaleSheetLayoutView="80" workbookViewId="0">
      <pane xSplit="2" topLeftCell="C1" activePane="topRight" state="frozen"/>
      <selection activeCell="M28" sqref="M28"/>
      <selection pane="topRight" activeCell="N50" sqref="N50"/>
    </sheetView>
  </sheetViews>
  <sheetFormatPr defaultColWidth="9.140625" defaultRowHeight="15" customHeight="1" x14ac:dyDescent="0.2"/>
  <cols>
    <col min="1" max="1" width="2.42578125" style="20" customWidth="1"/>
    <col min="2" max="2" width="61.42578125" style="20" customWidth="1"/>
    <col min="3" max="14" width="14.5703125" style="22" customWidth="1"/>
    <col min="15" max="15" width="2.5703125" style="20" customWidth="1"/>
    <col min="16" max="16384" width="9.140625" style="20"/>
  </cols>
  <sheetData>
    <row r="1" spans="1:19" s="23" customFormat="1" ht="15.75" customHeight="1" x14ac:dyDescent="0.35">
      <c r="B1" s="576"/>
      <c r="C1" s="576"/>
      <c r="D1" s="576"/>
      <c r="E1" s="576"/>
      <c r="F1" s="576"/>
      <c r="G1" s="576"/>
      <c r="H1" s="576"/>
      <c r="I1" s="576"/>
      <c r="J1" s="576"/>
      <c r="K1" s="576"/>
      <c r="L1" s="576"/>
      <c r="M1" s="576"/>
      <c r="N1" s="576"/>
    </row>
    <row r="2" spans="1:19" s="23" customFormat="1" ht="15.75" customHeight="1" x14ac:dyDescent="0.35">
      <c r="B2" s="576"/>
      <c r="C2" s="601"/>
      <c r="D2" s="601"/>
      <c r="E2" s="601"/>
      <c r="F2" s="601"/>
      <c r="G2" s="601"/>
      <c r="H2" s="601"/>
      <c r="I2" s="601"/>
      <c r="J2" s="601"/>
      <c r="K2" s="601"/>
      <c r="L2" s="601"/>
      <c r="M2" s="601"/>
      <c r="N2" s="577" t="s">
        <v>20</v>
      </c>
    </row>
    <row r="3" spans="1:19" s="23" customFormat="1" ht="15.75" customHeight="1" x14ac:dyDescent="0.35">
      <c r="B3" s="576"/>
      <c r="C3" s="576"/>
      <c r="D3" s="576"/>
      <c r="E3" s="576"/>
      <c r="F3" s="576"/>
      <c r="G3" s="576"/>
      <c r="H3" s="576"/>
      <c r="I3" s="576"/>
      <c r="J3" s="576"/>
      <c r="K3" s="576"/>
      <c r="L3" s="576"/>
      <c r="M3" s="576"/>
      <c r="N3" s="576"/>
    </row>
    <row r="4" spans="1:19" s="24" customFormat="1" ht="18" customHeight="1" x14ac:dyDescent="0.3">
      <c r="B4" s="578"/>
      <c r="C4" s="578"/>
      <c r="D4" s="578"/>
      <c r="E4" s="578"/>
      <c r="F4" s="578"/>
      <c r="G4" s="578"/>
      <c r="H4" s="578"/>
      <c r="I4" s="578"/>
      <c r="J4" s="578"/>
      <c r="K4" s="578"/>
      <c r="L4" s="578"/>
      <c r="M4" s="578"/>
      <c r="N4" s="578"/>
    </row>
    <row r="5" spans="1:19" ht="28.5" x14ac:dyDescent="0.2">
      <c r="A5" s="16"/>
      <c r="B5" s="937" t="s">
        <v>28</v>
      </c>
      <c r="C5" s="937"/>
      <c r="D5" s="937"/>
      <c r="E5" s="937"/>
      <c r="F5" s="937"/>
      <c r="G5" s="937"/>
      <c r="H5" s="937"/>
      <c r="I5" s="937"/>
      <c r="J5" s="937"/>
      <c r="K5" s="937"/>
      <c r="L5" s="937"/>
      <c r="M5" s="937"/>
      <c r="N5" s="937"/>
    </row>
    <row r="6" spans="1:19" ht="9" customHeight="1" x14ac:dyDescent="0.2">
      <c r="A6" s="16"/>
      <c r="B6" s="127"/>
      <c r="C6" s="127"/>
      <c r="D6" s="127"/>
      <c r="E6" s="127"/>
      <c r="F6" s="127"/>
      <c r="G6" s="127"/>
      <c r="H6" s="127"/>
      <c r="I6" s="127"/>
      <c r="J6" s="127"/>
      <c r="K6" s="127"/>
      <c r="L6" s="127"/>
      <c r="M6" s="127"/>
      <c r="N6" s="127"/>
    </row>
    <row r="7" spans="1:19" ht="11.25" customHeight="1" x14ac:dyDescent="0.2">
      <c r="A7" s="18"/>
      <c r="B7" s="533"/>
      <c r="C7" s="533"/>
      <c r="D7" s="533"/>
      <c r="E7" s="533"/>
      <c r="F7" s="533"/>
      <c r="G7" s="533"/>
      <c r="H7" s="533"/>
      <c r="I7" s="533"/>
      <c r="J7" s="533"/>
      <c r="K7" s="533"/>
      <c r="L7" s="533"/>
      <c r="M7" s="533"/>
      <c r="N7" s="494"/>
    </row>
    <row r="8" spans="1:19" s="23" customFormat="1" ht="11.25" customHeight="1" x14ac:dyDescent="0.35">
      <c r="B8" s="576"/>
      <c r="C8" s="579"/>
      <c r="D8" s="579"/>
      <c r="E8" s="579"/>
      <c r="F8" s="579"/>
      <c r="G8" s="579"/>
      <c r="H8" s="579"/>
      <c r="I8" s="579"/>
      <c r="J8" s="579"/>
      <c r="K8" s="579"/>
      <c r="L8" s="579"/>
      <c r="M8" s="579"/>
      <c r="N8" s="609"/>
    </row>
    <row r="9" spans="1:19" s="23" customFormat="1" ht="28.5" customHeight="1" x14ac:dyDescent="0.25">
      <c r="B9" s="586" t="s">
        <v>24</v>
      </c>
      <c r="C9" s="587">
        <v>44651</v>
      </c>
      <c r="D9" s="587">
        <v>44742</v>
      </c>
      <c r="E9" s="587">
        <v>44834</v>
      </c>
      <c r="F9" s="587">
        <v>44926</v>
      </c>
      <c r="G9" s="587">
        <v>45016</v>
      </c>
      <c r="H9" s="587">
        <v>45107</v>
      </c>
      <c r="I9" s="587">
        <v>45199</v>
      </c>
      <c r="J9" s="587">
        <v>45291</v>
      </c>
      <c r="K9" s="587">
        <v>45382</v>
      </c>
      <c r="L9" s="587">
        <v>45473</v>
      </c>
      <c r="M9" s="600">
        <v>45565</v>
      </c>
      <c r="N9" s="588">
        <v>45657</v>
      </c>
    </row>
    <row r="10" spans="1:19" s="25" customFormat="1" ht="20.25" customHeight="1" x14ac:dyDescent="0.35">
      <c r="B10" s="589" t="s">
        <v>304</v>
      </c>
      <c r="C10" s="583"/>
      <c r="D10" s="583"/>
      <c r="E10" s="583"/>
      <c r="F10" s="583"/>
      <c r="G10" s="583"/>
      <c r="H10" s="583"/>
      <c r="I10" s="590"/>
      <c r="J10" s="583"/>
      <c r="K10" s="583"/>
      <c r="L10" s="590"/>
      <c r="M10" s="846"/>
      <c r="N10" s="591"/>
    </row>
    <row r="11" spans="1:19" s="25" customFormat="1" ht="20.25" customHeight="1" x14ac:dyDescent="0.35">
      <c r="B11" s="592" t="s">
        <v>305</v>
      </c>
      <c r="C11" s="583">
        <v>28061.088986570005</v>
      </c>
      <c r="D11" s="583">
        <v>28043.942650490008</v>
      </c>
      <c r="E11" s="583">
        <v>28792.26117365</v>
      </c>
      <c r="F11" s="583">
        <v>28557.665536989974</v>
      </c>
      <c r="G11" s="583">
        <v>28191.743425110013</v>
      </c>
      <c r="H11" s="583">
        <v>28717.459791850004</v>
      </c>
      <c r="I11" s="590">
        <v>29041.369762400009</v>
      </c>
      <c r="J11" s="583">
        <v>29332.752149729986</v>
      </c>
      <c r="K11" s="583">
        <v>29104.34764885002</v>
      </c>
      <c r="L11" s="590">
        <v>30260.114412570001</v>
      </c>
      <c r="M11" s="846">
        <v>30860.566190650046</v>
      </c>
      <c r="N11" s="591">
        <v>32406.701741850011</v>
      </c>
    </row>
    <row r="12" spans="1:19" s="25" customFormat="1" ht="20.25" customHeight="1" x14ac:dyDescent="0.35">
      <c r="B12" s="593" t="s">
        <v>189</v>
      </c>
      <c r="C12" s="584">
        <v>6182</v>
      </c>
      <c r="D12" s="584">
        <v>6131.1678308704404</v>
      </c>
      <c r="E12" s="584">
        <v>6108.7819081267126</v>
      </c>
      <c r="F12" s="584">
        <v>6074.4239423764802</v>
      </c>
      <c r="G12" s="584">
        <v>6034.0444514236096</v>
      </c>
      <c r="H12" s="584">
        <v>5951.678018693071</v>
      </c>
      <c r="I12" s="594">
        <v>5900.8357836587293</v>
      </c>
      <c r="J12" s="584">
        <v>5984.423639567588</v>
      </c>
      <c r="K12" s="584">
        <v>5902.6959318857143</v>
      </c>
      <c r="L12" s="594">
        <v>5848.6639154404074</v>
      </c>
      <c r="M12" s="848">
        <v>5787.4663144752458</v>
      </c>
      <c r="N12" s="595">
        <v>5721.6914667183264</v>
      </c>
      <c r="R12" s="66"/>
    </row>
    <row r="13" spans="1:19" s="25" customFormat="1" ht="20.25" customHeight="1" x14ac:dyDescent="0.35">
      <c r="B13" s="592" t="s">
        <v>64</v>
      </c>
      <c r="C13" s="583">
        <v>0</v>
      </c>
      <c r="D13" s="583">
        <v>0</v>
      </c>
      <c r="E13" s="583">
        <v>0</v>
      </c>
      <c r="F13" s="583">
        <v>1517.3255670000001</v>
      </c>
      <c r="G13" s="583">
        <v>0</v>
      </c>
      <c r="H13" s="583">
        <v>0</v>
      </c>
      <c r="I13" s="590">
        <v>0</v>
      </c>
      <c r="J13" s="583">
        <v>950.67031599999996</v>
      </c>
      <c r="K13" s="583">
        <v>0</v>
      </c>
      <c r="L13" s="590">
        <v>0</v>
      </c>
      <c r="M13" s="846">
        <v>0</v>
      </c>
      <c r="N13" s="591">
        <v>919.36909000000003</v>
      </c>
      <c r="R13" s="50"/>
    </row>
    <row r="14" spans="1:19" s="25" customFormat="1" ht="20.25" customHeight="1" x14ac:dyDescent="0.35">
      <c r="B14" s="610" t="s">
        <v>36</v>
      </c>
      <c r="C14" s="584">
        <v>7114.9188832399896</v>
      </c>
      <c r="D14" s="584">
        <v>6984.9177105599838</v>
      </c>
      <c r="E14" s="584">
        <v>6945.0078594100114</v>
      </c>
      <c r="F14" s="584">
        <v>6879.6432926499447</v>
      </c>
      <c r="G14" s="584">
        <v>6756.681081040022</v>
      </c>
      <c r="H14" s="584">
        <v>6518.5449787499683</v>
      </c>
      <c r="I14" s="594">
        <v>6475.5954375099827</v>
      </c>
      <c r="J14" s="584">
        <v>6453.9157924400106</v>
      </c>
      <c r="K14" s="584">
        <v>6425.0518737000284</v>
      </c>
      <c r="L14" s="594">
        <v>6420.1000731399954</v>
      </c>
      <c r="M14" s="848">
        <v>6420.897926210002</v>
      </c>
      <c r="N14" s="595">
        <v>6304.6838923501364</v>
      </c>
    </row>
    <row r="15" spans="1:19" s="25" customFormat="1" ht="20.25" customHeight="1" x14ac:dyDescent="0.35">
      <c r="B15" s="610" t="s">
        <v>37</v>
      </c>
      <c r="C15" s="584">
        <v>1981.4769415699855</v>
      </c>
      <c r="D15" s="584">
        <v>1983.9500897699984</v>
      </c>
      <c r="E15" s="584">
        <v>1986.4302856499921</v>
      </c>
      <c r="F15" s="584">
        <v>1895.0359720999691</v>
      </c>
      <c r="G15" s="584">
        <v>1875.528453499981</v>
      </c>
      <c r="H15" s="584">
        <v>1751.8366322199865</v>
      </c>
      <c r="I15" s="594">
        <v>1781.2178743300046</v>
      </c>
      <c r="J15" s="584">
        <v>1661.0325662700056</v>
      </c>
      <c r="K15" s="584">
        <v>1668.6362921200216</v>
      </c>
      <c r="L15" s="594">
        <v>1718.3245322399969</v>
      </c>
      <c r="M15" s="848">
        <v>1754.7797457799829</v>
      </c>
      <c r="N15" s="595">
        <v>1794.6513429899824</v>
      </c>
    </row>
    <row r="16" spans="1:19" s="25" customFormat="1" ht="20.25" customHeight="1" x14ac:dyDescent="0.35">
      <c r="B16" s="611" t="s">
        <v>306</v>
      </c>
      <c r="C16" s="583">
        <f>C14+C15</f>
        <v>9096.3958248099752</v>
      </c>
      <c r="D16" s="583">
        <f>D15+D14</f>
        <v>8968.8678003299829</v>
      </c>
      <c r="E16" s="583">
        <f t="shared" ref="E16:I16" si="0">E14+E15</f>
        <v>8931.4381450600031</v>
      </c>
      <c r="F16" s="583">
        <f t="shared" si="0"/>
        <v>8774.6792647499133</v>
      </c>
      <c r="G16" s="583">
        <f t="shared" si="0"/>
        <v>8632.209534540003</v>
      </c>
      <c r="H16" s="583">
        <f t="shared" si="0"/>
        <v>8270.3816109699546</v>
      </c>
      <c r="I16" s="590">
        <f t="shared" si="0"/>
        <v>8256.8133118399874</v>
      </c>
      <c r="J16" s="583">
        <f t="shared" ref="J16" si="1">J14+J15</f>
        <v>8114.9483587100167</v>
      </c>
      <c r="K16" s="583">
        <f t="shared" ref="K16" si="2">K14+K15</f>
        <v>8093.68816582005</v>
      </c>
      <c r="L16" s="590">
        <f t="shared" ref="L16" si="3">L14+L15</f>
        <v>8138.4246053799925</v>
      </c>
      <c r="M16" s="846">
        <f t="shared" ref="M16:N16" si="4">M14+M15</f>
        <v>8175.6776719899844</v>
      </c>
      <c r="N16" s="591">
        <f t="shared" si="4"/>
        <v>8099.3352353401187</v>
      </c>
      <c r="S16" s="50"/>
    </row>
    <row r="17" spans="2:20" s="25" customFormat="1" ht="20.25" customHeight="1" x14ac:dyDescent="0.35">
      <c r="B17" s="611" t="s">
        <v>307</v>
      </c>
      <c r="C17" s="583">
        <f>C11+C16</f>
        <v>37157.484811379982</v>
      </c>
      <c r="D17" s="583">
        <f>D11+D16</f>
        <v>37012.81045081999</v>
      </c>
      <c r="E17" s="583">
        <f>E11+E16</f>
        <v>37723.699318710002</v>
      </c>
      <c r="F17" s="583">
        <f t="shared" ref="F17:I17" si="5">F11+F13+F16</f>
        <v>38849.670368739884</v>
      </c>
      <c r="G17" s="583">
        <f t="shared" si="5"/>
        <v>36823.952959650014</v>
      </c>
      <c r="H17" s="583">
        <f t="shared" si="5"/>
        <v>36987.841402819962</v>
      </c>
      <c r="I17" s="590">
        <f t="shared" si="5"/>
        <v>37298.183074239998</v>
      </c>
      <c r="J17" s="583">
        <f>J11+J13+J16</f>
        <v>38398.370824440004</v>
      </c>
      <c r="K17" s="583">
        <f t="shared" ref="K17" si="6">K11+K13+K16</f>
        <v>37198.035814670067</v>
      </c>
      <c r="L17" s="590">
        <f t="shared" ref="L17" si="7">L11+L13+L16</f>
        <v>38398.539017949995</v>
      </c>
      <c r="M17" s="846">
        <f t="shared" ref="M17:N17" si="8">M11+M13+M16</f>
        <v>39036.243862640033</v>
      </c>
      <c r="N17" s="591">
        <f t="shared" si="8"/>
        <v>41425.406067190132</v>
      </c>
      <c r="S17" s="50"/>
    </row>
    <row r="18" spans="2:20" s="25" customFormat="1" ht="20.25" customHeight="1" x14ac:dyDescent="0.35">
      <c r="B18" s="592"/>
      <c r="C18" s="583"/>
      <c r="D18" s="583"/>
      <c r="E18" s="583"/>
      <c r="F18" s="583"/>
      <c r="G18" s="583"/>
      <c r="H18" s="583"/>
      <c r="I18" s="590"/>
      <c r="J18" s="583"/>
      <c r="K18" s="583"/>
      <c r="L18" s="590"/>
      <c r="M18" s="846"/>
      <c r="N18" s="591"/>
      <c r="R18" s="50"/>
      <c r="S18" s="50"/>
      <c r="T18" s="50"/>
    </row>
    <row r="19" spans="2:20" s="25" customFormat="1" ht="20.25" customHeight="1" x14ac:dyDescent="0.35">
      <c r="B19" s="589" t="s">
        <v>308</v>
      </c>
      <c r="C19" s="583"/>
      <c r="D19" s="583"/>
      <c r="E19" s="583"/>
      <c r="F19" s="583"/>
      <c r="G19" s="583"/>
      <c r="H19" s="583"/>
      <c r="I19" s="590"/>
      <c r="J19" s="583"/>
      <c r="K19" s="583"/>
      <c r="L19" s="590"/>
      <c r="M19" s="846"/>
      <c r="N19" s="591"/>
      <c r="T19" s="50"/>
    </row>
    <row r="20" spans="2:20" s="25" customFormat="1" ht="20.25" customHeight="1" x14ac:dyDescent="0.35">
      <c r="B20" s="592" t="s">
        <v>305</v>
      </c>
      <c r="C20" s="583">
        <v>2884.7019356400069</v>
      </c>
      <c r="D20" s="583">
        <v>1783.5284245700002</v>
      </c>
      <c r="E20" s="583">
        <v>1737.2395137399999</v>
      </c>
      <c r="F20" s="583">
        <v>1329.46592289</v>
      </c>
      <c r="G20" s="583">
        <v>1180.5564713599993</v>
      </c>
      <c r="H20" s="583">
        <v>985.02013212999987</v>
      </c>
      <c r="I20" s="590">
        <v>1045.8946054600001</v>
      </c>
      <c r="J20" s="583">
        <v>607.30707888999996</v>
      </c>
      <c r="K20" s="583">
        <v>665.6129204099999</v>
      </c>
      <c r="L20" s="590">
        <v>670.83578849999969</v>
      </c>
      <c r="M20" s="846">
        <v>661.12408364000009</v>
      </c>
      <c r="N20" s="591">
        <v>526.84204563000014</v>
      </c>
      <c r="Q20" s="50"/>
    </row>
    <row r="21" spans="2:20" s="25" customFormat="1" ht="20.25" customHeight="1" x14ac:dyDescent="0.35">
      <c r="B21" s="593" t="s">
        <v>30</v>
      </c>
      <c r="C21" s="584">
        <v>214.03616097999998</v>
      </c>
      <c r="D21" s="584">
        <v>174.78648602000004</v>
      </c>
      <c r="E21" s="584">
        <v>203.64543909</v>
      </c>
      <c r="F21" s="584">
        <v>227.50133473000002</v>
      </c>
      <c r="G21" s="584">
        <v>263.39582256999995</v>
      </c>
      <c r="H21" s="584">
        <v>130.56384055999999</v>
      </c>
      <c r="I21" s="594">
        <v>155.11272435000001</v>
      </c>
      <c r="J21" s="584">
        <v>139.46051986999998</v>
      </c>
      <c r="K21" s="584">
        <v>158.02156826000004</v>
      </c>
      <c r="L21" s="594">
        <v>186.75315023999994</v>
      </c>
      <c r="M21" s="848">
        <v>197.04557856</v>
      </c>
      <c r="N21" s="595">
        <v>137.09263193300001</v>
      </c>
      <c r="Q21" s="50"/>
    </row>
    <row r="22" spans="2:20" s="25" customFormat="1" ht="20.25" customHeight="1" x14ac:dyDescent="0.35">
      <c r="B22" s="593" t="s">
        <v>31</v>
      </c>
      <c r="C22" s="584">
        <v>232.34945528000014</v>
      </c>
      <c r="D22" s="584">
        <v>204.92860217</v>
      </c>
      <c r="E22" s="584">
        <v>212.29177344999999</v>
      </c>
      <c r="F22" s="584">
        <v>214.9766817299998</v>
      </c>
      <c r="G22" s="584">
        <v>224.59155294000024</v>
      </c>
      <c r="H22" s="584">
        <v>93.775955620000033</v>
      </c>
      <c r="I22" s="594">
        <v>105.93434641000003</v>
      </c>
      <c r="J22" s="584">
        <v>43.057630899999999</v>
      </c>
      <c r="K22" s="584">
        <v>51.717519379999992</v>
      </c>
      <c r="L22" s="594">
        <v>63.854707859999991</v>
      </c>
      <c r="M22" s="848">
        <v>72.957795569999988</v>
      </c>
      <c r="N22" s="595">
        <v>53.499823410000012</v>
      </c>
      <c r="Q22" s="50"/>
    </row>
    <row r="23" spans="2:20" s="25" customFormat="1" ht="20.25" customHeight="1" x14ac:dyDescent="0.35">
      <c r="B23" s="592" t="s">
        <v>309</v>
      </c>
      <c r="C23" s="583">
        <f t="shared" ref="C23:F23" si="9">C21+C22</f>
        <v>446.38561626000012</v>
      </c>
      <c r="D23" s="583">
        <f t="shared" si="9"/>
        <v>379.71508819000007</v>
      </c>
      <c r="E23" s="583">
        <f t="shared" si="9"/>
        <v>415.93721254000002</v>
      </c>
      <c r="F23" s="583">
        <f t="shared" si="9"/>
        <v>442.47801645999982</v>
      </c>
      <c r="G23" s="583">
        <f t="shared" ref="G23" si="10">G21+G22</f>
        <v>487.98737551000022</v>
      </c>
      <c r="H23" s="583">
        <f t="shared" ref="H23" si="11">H21+H22</f>
        <v>224.33979618000001</v>
      </c>
      <c r="I23" s="590">
        <f t="shared" ref="I23" si="12">I21+I22</f>
        <v>261.04707076000005</v>
      </c>
      <c r="J23" s="583">
        <f t="shared" ref="J23" si="13">J21+J22</f>
        <v>182.51815076999998</v>
      </c>
      <c r="K23" s="583">
        <f t="shared" ref="K23" si="14">K21+K22</f>
        <v>209.73908764000004</v>
      </c>
      <c r="L23" s="590">
        <f t="shared" ref="L23" si="15">L21+L22</f>
        <v>250.60785809999993</v>
      </c>
      <c r="M23" s="846">
        <f t="shared" ref="M23:N23" si="16">M21+M22</f>
        <v>270.00337413</v>
      </c>
      <c r="N23" s="591">
        <f t="shared" si="16"/>
        <v>190.59245534300001</v>
      </c>
      <c r="Q23" s="50"/>
    </row>
    <row r="24" spans="2:20" s="25" customFormat="1" ht="20.25" customHeight="1" x14ac:dyDescent="0.35">
      <c r="B24" s="592" t="s">
        <v>310</v>
      </c>
      <c r="C24" s="583">
        <f t="shared" ref="C24:E24" si="17">C20+C23</f>
        <v>3331.0875519000069</v>
      </c>
      <c r="D24" s="583">
        <f t="shared" si="17"/>
        <v>2163.2435127600002</v>
      </c>
      <c r="E24" s="583">
        <f t="shared" si="17"/>
        <v>2153.1767262799999</v>
      </c>
      <c r="F24" s="583">
        <f t="shared" ref="F24" si="18">F20+F23</f>
        <v>1771.9439393499997</v>
      </c>
      <c r="G24" s="583">
        <f t="shared" ref="G24" si="19">G20+G23</f>
        <v>1668.5438468699995</v>
      </c>
      <c r="H24" s="583">
        <f t="shared" ref="H24" si="20">H20+H23</f>
        <v>1209.3599283099998</v>
      </c>
      <c r="I24" s="590">
        <f t="shared" ref="I24" si="21">I20+I23</f>
        <v>1306.9416762200001</v>
      </c>
      <c r="J24" s="583">
        <f t="shared" ref="J24" si="22">J20+J23</f>
        <v>789.82522965999988</v>
      </c>
      <c r="K24" s="583">
        <f t="shared" ref="K24" si="23">K20+K23</f>
        <v>875.35200804999999</v>
      </c>
      <c r="L24" s="590">
        <f t="shared" ref="L24" si="24">L20+L23</f>
        <v>921.44364659999962</v>
      </c>
      <c r="M24" s="846">
        <f t="shared" ref="M24:N24" si="25">M20+M23</f>
        <v>931.12745777000009</v>
      </c>
      <c r="N24" s="591">
        <f t="shared" si="25"/>
        <v>717.43450097300013</v>
      </c>
      <c r="Q24" s="50"/>
    </row>
    <row r="25" spans="2:20" s="25" customFormat="1" ht="20.25" customHeight="1" x14ac:dyDescent="0.35">
      <c r="B25" s="592"/>
      <c r="C25" s="583"/>
      <c r="D25" s="583"/>
      <c r="E25" s="583"/>
      <c r="F25" s="583"/>
      <c r="G25" s="583"/>
      <c r="H25" s="583"/>
      <c r="I25" s="590"/>
      <c r="J25" s="583"/>
      <c r="K25" s="583"/>
      <c r="L25" s="590"/>
      <c r="M25" s="846"/>
      <c r="N25" s="591"/>
    </row>
    <row r="26" spans="2:20" s="25" customFormat="1" ht="20.25" customHeight="1" x14ac:dyDescent="0.35">
      <c r="B26" s="589" t="s">
        <v>48</v>
      </c>
      <c r="C26" s="583"/>
      <c r="D26" s="583"/>
      <c r="E26" s="583"/>
      <c r="F26" s="583"/>
      <c r="G26" s="583"/>
      <c r="H26" s="583"/>
      <c r="I26" s="590"/>
      <c r="J26" s="583"/>
      <c r="K26" s="583"/>
      <c r="L26" s="590"/>
      <c r="M26" s="846"/>
      <c r="N26" s="591"/>
    </row>
    <row r="27" spans="2:20" s="25" customFormat="1" ht="20.25" customHeight="1" x14ac:dyDescent="0.35">
      <c r="B27" s="592" t="s">
        <v>305</v>
      </c>
      <c r="C27" s="583">
        <v>3974.0888914799993</v>
      </c>
      <c r="D27" s="583">
        <v>2814.027598950001</v>
      </c>
      <c r="E27" s="583">
        <v>2698.7405230700001</v>
      </c>
      <c r="F27" s="583">
        <v>1968.7959341899998</v>
      </c>
      <c r="G27" s="583">
        <v>1773.9850980499994</v>
      </c>
      <c r="H27" s="583">
        <v>1660.4057894400009</v>
      </c>
      <c r="I27" s="590">
        <v>1625.04652257</v>
      </c>
      <c r="J27" s="583">
        <v>1011.2919069500001</v>
      </c>
      <c r="K27" s="583">
        <v>965.49531574999946</v>
      </c>
      <c r="L27" s="590">
        <v>892.738528580001</v>
      </c>
      <c r="M27" s="846">
        <v>867.49356755999884</v>
      </c>
      <c r="N27" s="591">
        <v>790.63566582000078</v>
      </c>
      <c r="Q27" s="759"/>
      <c r="R27" s="760"/>
    </row>
    <row r="28" spans="2:20" s="25" customFormat="1" ht="20.25" customHeight="1" x14ac:dyDescent="0.35">
      <c r="B28" s="593" t="s">
        <v>30</v>
      </c>
      <c r="C28" s="584">
        <v>446.80479113000007</v>
      </c>
      <c r="D28" s="584">
        <v>352.87157150000002</v>
      </c>
      <c r="E28" s="584">
        <v>369.84721385</v>
      </c>
      <c r="F28" s="584">
        <v>388.79573667</v>
      </c>
      <c r="G28" s="584">
        <v>397.41569729999986</v>
      </c>
      <c r="H28" s="584">
        <v>256.99712136000011</v>
      </c>
      <c r="I28" s="594">
        <v>279.02546720999993</v>
      </c>
      <c r="J28" s="584">
        <v>250.96990948000004</v>
      </c>
      <c r="K28" s="584">
        <v>263.86466247000004</v>
      </c>
      <c r="L28" s="594">
        <v>287.45836180000003</v>
      </c>
      <c r="M28" s="848">
        <v>300.87292066000009</v>
      </c>
      <c r="N28" s="595">
        <v>207.24026387999976</v>
      </c>
      <c r="Q28" s="759"/>
      <c r="R28" s="760"/>
    </row>
    <row r="29" spans="2:20" s="25" customFormat="1" ht="20.25" customHeight="1" x14ac:dyDescent="0.35">
      <c r="B29" s="593" t="s">
        <v>31</v>
      </c>
      <c r="C29" s="584">
        <v>300.84586535999995</v>
      </c>
      <c r="D29" s="584">
        <v>258.8461567199999</v>
      </c>
      <c r="E29" s="584">
        <v>262.70398369999992</v>
      </c>
      <c r="F29" s="584">
        <v>266.72455822000006</v>
      </c>
      <c r="G29" s="584">
        <v>270.15212166999987</v>
      </c>
      <c r="H29" s="584">
        <v>131.17672092999976</v>
      </c>
      <c r="I29" s="594">
        <v>141.38426670999996</v>
      </c>
      <c r="J29" s="584">
        <v>67.058541560000108</v>
      </c>
      <c r="K29" s="584">
        <v>73.282378920000014</v>
      </c>
      <c r="L29" s="594">
        <v>83.310257430000007</v>
      </c>
      <c r="M29" s="848">
        <v>93.471616549999965</v>
      </c>
      <c r="N29" s="595">
        <v>70.115875700000004</v>
      </c>
      <c r="Q29" s="760"/>
      <c r="R29" s="760"/>
    </row>
    <row r="30" spans="2:20" s="25" customFormat="1" ht="20.25" customHeight="1" x14ac:dyDescent="0.35">
      <c r="B30" s="592" t="s">
        <v>309</v>
      </c>
      <c r="C30" s="583">
        <f t="shared" ref="C30:G30" si="26">C28+C29</f>
        <v>747.65065649000007</v>
      </c>
      <c r="D30" s="583">
        <f t="shared" si="26"/>
        <v>611.71772821999991</v>
      </c>
      <c r="E30" s="583">
        <f t="shared" si="26"/>
        <v>632.55119754999987</v>
      </c>
      <c r="F30" s="583">
        <f t="shared" si="26"/>
        <v>655.52029489000006</v>
      </c>
      <c r="G30" s="583">
        <f t="shared" si="26"/>
        <v>667.56781896999973</v>
      </c>
      <c r="H30" s="583">
        <f t="shared" ref="H30" si="27">H28+H29</f>
        <v>388.17384228999987</v>
      </c>
      <c r="I30" s="590">
        <f t="shared" ref="I30" si="28">I28+I29</f>
        <v>420.40973391999989</v>
      </c>
      <c r="J30" s="583">
        <f t="shared" ref="J30" si="29">J28+J29</f>
        <v>318.02845104000016</v>
      </c>
      <c r="K30" s="583">
        <f t="shared" ref="K30" si="30">K28+K29</f>
        <v>337.14704139000003</v>
      </c>
      <c r="L30" s="590">
        <f t="shared" ref="L30" si="31">L28+L29</f>
        <v>370.76861923000001</v>
      </c>
      <c r="M30" s="846">
        <f t="shared" ref="M30:N30" si="32">M28+M29</f>
        <v>394.34453721000006</v>
      </c>
      <c r="N30" s="591">
        <f t="shared" si="32"/>
        <v>277.35613957999976</v>
      </c>
      <c r="Q30" s="759"/>
      <c r="R30" s="760"/>
    </row>
    <row r="31" spans="2:20" s="25" customFormat="1" ht="20.25" customHeight="1" x14ac:dyDescent="0.35">
      <c r="B31" s="592" t="s">
        <v>310</v>
      </c>
      <c r="C31" s="583">
        <f t="shared" ref="C31:E31" si="33">C27+C30</f>
        <v>4721.739547969999</v>
      </c>
      <c r="D31" s="583">
        <f t="shared" si="33"/>
        <v>3425.745327170001</v>
      </c>
      <c r="E31" s="583">
        <f t="shared" si="33"/>
        <v>3331.29172062</v>
      </c>
      <c r="F31" s="583">
        <f t="shared" ref="F31" si="34">F27+F30</f>
        <v>2624.3162290800001</v>
      </c>
      <c r="G31" s="583">
        <f t="shared" ref="G31" si="35">G27+G30</f>
        <v>2441.5529170199989</v>
      </c>
      <c r="H31" s="583">
        <f t="shared" ref="H31" si="36">H27+H30</f>
        <v>2048.579631730001</v>
      </c>
      <c r="I31" s="590">
        <f t="shared" ref="I31" si="37">I27+I30</f>
        <v>2045.4562564899998</v>
      </c>
      <c r="J31" s="583">
        <f>J27+J30</f>
        <v>1329.3203579900003</v>
      </c>
      <c r="K31" s="583">
        <f>K27+K30</f>
        <v>1302.6423571399996</v>
      </c>
      <c r="L31" s="590">
        <f>L27+L30</f>
        <v>1263.507147810001</v>
      </c>
      <c r="M31" s="846">
        <f>M27+M30</f>
        <v>1261.8381047699988</v>
      </c>
      <c r="N31" s="591">
        <f>N27+N30</f>
        <v>1067.9918054000004</v>
      </c>
      <c r="Q31" s="760"/>
      <c r="R31" s="758"/>
    </row>
    <row r="32" spans="2:20" s="25" customFormat="1" ht="20.25" customHeight="1" x14ac:dyDescent="0.35">
      <c r="B32" s="592"/>
      <c r="C32" s="583"/>
      <c r="D32" s="583"/>
      <c r="E32" s="583"/>
      <c r="F32" s="583"/>
      <c r="G32" s="583"/>
      <c r="H32" s="583"/>
      <c r="I32" s="590"/>
      <c r="J32" s="583"/>
      <c r="K32" s="583"/>
      <c r="L32" s="590"/>
      <c r="M32" s="846"/>
      <c r="N32" s="591"/>
    </row>
    <row r="33" spans="2:14" s="25" customFormat="1" ht="20.25" hidden="1" customHeight="1" x14ac:dyDescent="0.35">
      <c r="B33" s="592"/>
      <c r="C33" s="583"/>
      <c r="D33" s="583"/>
      <c r="E33" s="583"/>
      <c r="F33" s="583"/>
      <c r="G33" s="583"/>
      <c r="H33" s="583"/>
      <c r="I33" s="590"/>
      <c r="J33" s="583"/>
      <c r="K33" s="583"/>
      <c r="L33" s="590"/>
      <c r="M33" s="846"/>
      <c r="N33" s="591"/>
    </row>
    <row r="34" spans="2:14" s="25" customFormat="1" ht="20.25" hidden="1" customHeight="1" x14ac:dyDescent="0.35">
      <c r="B34" s="592"/>
      <c r="C34" s="583"/>
      <c r="D34" s="583"/>
      <c r="E34" s="583"/>
      <c r="F34" s="583"/>
      <c r="G34" s="583"/>
      <c r="H34" s="583"/>
      <c r="I34" s="590"/>
      <c r="J34" s="583"/>
      <c r="K34" s="583"/>
      <c r="L34" s="590"/>
      <c r="M34" s="846"/>
      <c r="N34" s="591"/>
    </row>
    <row r="35" spans="2:14" s="25" customFormat="1" ht="20.25" customHeight="1" x14ac:dyDescent="0.35">
      <c r="B35" s="589" t="s">
        <v>32</v>
      </c>
      <c r="C35" s="583"/>
      <c r="D35" s="583"/>
      <c r="E35" s="583"/>
      <c r="F35" s="583"/>
      <c r="G35" s="583"/>
      <c r="H35" s="583"/>
      <c r="I35" s="590"/>
      <c r="J35" s="583"/>
      <c r="K35" s="583"/>
      <c r="L35" s="590"/>
      <c r="M35" s="846"/>
      <c r="N35" s="591"/>
    </row>
    <row r="36" spans="2:14" s="25" customFormat="1" ht="21" customHeight="1" x14ac:dyDescent="0.35">
      <c r="B36" s="592" t="s">
        <v>305</v>
      </c>
      <c r="C36" s="583">
        <v>1762.514131014563</v>
      </c>
      <c r="D36" s="583">
        <v>1273.9698686300001</v>
      </c>
      <c r="E36" s="583">
        <v>1338.1540279739479</v>
      </c>
      <c r="F36" s="583">
        <v>1131.6451049063865</v>
      </c>
      <c r="G36" s="583">
        <v>1059.972212671262</v>
      </c>
      <c r="H36" s="583">
        <v>1000.017739251538</v>
      </c>
      <c r="I36" s="590">
        <v>998.11833876000003</v>
      </c>
      <c r="J36" s="583">
        <v>697.42609226714399</v>
      </c>
      <c r="K36" s="583">
        <v>656.85700860117151</v>
      </c>
      <c r="L36" s="590">
        <v>609.20935852408843</v>
      </c>
      <c r="M36" s="846">
        <v>622.1248495711111</v>
      </c>
      <c r="N36" s="591">
        <v>565.44983304000004</v>
      </c>
    </row>
    <row r="37" spans="2:14" s="25" customFormat="1" ht="21" customHeight="1" x14ac:dyDescent="0.35">
      <c r="B37" s="593" t="s">
        <v>30</v>
      </c>
      <c r="C37" s="584">
        <v>81.753611200000009</v>
      </c>
      <c r="D37" s="584">
        <v>80.594922580000002</v>
      </c>
      <c r="E37" s="584">
        <v>83.60878763829318</v>
      </c>
      <c r="F37" s="584">
        <v>86.436325317913628</v>
      </c>
      <c r="G37" s="584">
        <v>89.259121989929753</v>
      </c>
      <c r="H37" s="584">
        <v>47.792738938082771</v>
      </c>
      <c r="I37" s="594">
        <v>50.083827849999992</v>
      </c>
      <c r="J37" s="584">
        <v>42.180639089449983</v>
      </c>
      <c r="K37" s="584">
        <v>43.512418448261407</v>
      </c>
      <c r="L37" s="594">
        <v>45.713071716575037</v>
      </c>
      <c r="M37" s="848">
        <v>55.936792924692575</v>
      </c>
      <c r="N37" s="595">
        <v>42.512353659999995</v>
      </c>
    </row>
    <row r="38" spans="2:14" s="25" customFormat="1" ht="21" customHeight="1" x14ac:dyDescent="0.35">
      <c r="B38" s="593" t="s">
        <v>31</v>
      </c>
      <c r="C38" s="584">
        <v>236.25888628000001</v>
      </c>
      <c r="D38" s="584">
        <v>212.90668455000005</v>
      </c>
      <c r="E38" s="584">
        <v>208.90147599533915</v>
      </c>
      <c r="F38" s="584">
        <v>213.38569343117175</v>
      </c>
      <c r="G38" s="584">
        <v>210.50448347320943</v>
      </c>
      <c r="H38" s="584">
        <v>116.17888437747696</v>
      </c>
      <c r="I38" s="594">
        <v>123.69489336000001</v>
      </c>
      <c r="J38" s="584">
        <v>79.444530437009149</v>
      </c>
      <c r="K38" s="584">
        <v>83.5766080267787</v>
      </c>
      <c r="L38" s="594">
        <v>88.190032037026569</v>
      </c>
      <c r="M38" s="848">
        <v>96.279492336131057</v>
      </c>
      <c r="N38" s="595">
        <v>83.134338650000004</v>
      </c>
    </row>
    <row r="39" spans="2:14" s="25" customFormat="1" ht="21" customHeight="1" x14ac:dyDescent="0.35">
      <c r="B39" s="592" t="s">
        <v>309</v>
      </c>
      <c r="C39" s="583">
        <v>318.01249748000004</v>
      </c>
      <c r="D39" s="583">
        <v>293.50160713000002</v>
      </c>
      <c r="E39" s="583">
        <v>292.51026363363235</v>
      </c>
      <c r="F39" s="583">
        <v>299.82201874908537</v>
      </c>
      <c r="G39" s="583">
        <v>299.76360546313919</v>
      </c>
      <c r="H39" s="583">
        <v>163.97162331555973</v>
      </c>
      <c r="I39" s="590">
        <v>173.77872121000001</v>
      </c>
      <c r="J39" s="583">
        <v>121.62516952645913</v>
      </c>
      <c r="K39" s="583">
        <v>127.0890264750401</v>
      </c>
      <c r="L39" s="590">
        <v>133.90310375360161</v>
      </c>
      <c r="M39" s="846">
        <v>152.21628526082364</v>
      </c>
      <c r="N39" s="591">
        <v>125.64669230999999</v>
      </c>
    </row>
    <row r="40" spans="2:14" s="25" customFormat="1" ht="21" customHeight="1" x14ac:dyDescent="0.35">
      <c r="B40" s="592" t="s">
        <v>311</v>
      </c>
      <c r="C40" s="590">
        <f t="shared" ref="C40" si="38">C36+C39</f>
        <v>2080.5266284945628</v>
      </c>
      <c r="D40" s="590">
        <f t="shared" ref="D40" si="39">D36+D39</f>
        <v>1567.47147576</v>
      </c>
      <c r="E40" s="590">
        <f t="shared" ref="E40" si="40">E36+E39</f>
        <v>1630.6642916075803</v>
      </c>
      <c r="F40" s="590">
        <f t="shared" ref="F40" si="41">F36+F39</f>
        <v>1431.4671236554718</v>
      </c>
      <c r="G40" s="590">
        <f t="shared" ref="G40" si="42">G36+G39</f>
        <v>1359.7358181344011</v>
      </c>
      <c r="H40" s="583">
        <f t="shared" ref="H40:L40" si="43">H36+H39</f>
        <v>1163.9893625670977</v>
      </c>
      <c r="I40" s="590">
        <f t="shared" si="43"/>
        <v>1171.8970599700001</v>
      </c>
      <c r="J40" s="583">
        <f t="shared" si="43"/>
        <v>819.05126179360309</v>
      </c>
      <c r="K40" s="583">
        <f t="shared" si="43"/>
        <v>783.94603507621161</v>
      </c>
      <c r="L40" s="590">
        <f t="shared" si="43"/>
        <v>743.11246227769004</v>
      </c>
      <c r="M40" s="846">
        <f t="shared" ref="M40:N40" si="44">M36+M39</f>
        <v>774.34113483193471</v>
      </c>
      <c r="N40" s="591">
        <f t="shared" si="44"/>
        <v>691.09652535000009</v>
      </c>
    </row>
    <row r="41" spans="2:14" s="25" customFormat="1" ht="20.25" customHeight="1" x14ac:dyDescent="0.35">
      <c r="B41" s="592"/>
      <c r="C41" s="583"/>
      <c r="D41" s="583"/>
      <c r="E41" s="583"/>
      <c r="F41" s="583"/>
      <c r="G41" s="583"/>
      <c r="H41" s="583"/>
      <c r="I41" s="590"/>
      <c r="J41" s="583"/>
      <c r="K41" s="583"/>
      <c r="L41" s="590"/>
      <c r="M41" s="846"/>
      <c r="N41" s="591"/>
    </row>
    <row r="42" spans="2:14" s="25" customFormat="1" ht="20.25" customHeight="1" x14ac:dyDescent="0.35">
      <c r="B42" s="589" t="s">
        <v>312</v>
      </c>
      <c r="C42" s="583"/>
      <c r="D42" s="583"/>
      <c r="E42" s="583"/>
      <c r="F42" s="583"/>
      <c r="G42" s="583"/>
      <c r="H42" s="583"/>
      <c r="I42" s="590"/>
      <c r="J42" s="583"/>
      <c r="K42" s="583"/>
      <c r="L42" s="590"/>
      <c r="M42" s="846"/>
      <c r="N42" s="591"/>
    </row>
    <row r="43" spans="2:14" s="25" customFormat="1" ht="20.25" customHeight="1" x14ac:dyDescent="0.35">
      <c r="B43" s="592" t="s">
        <v>305</v>
      </c>
      <c r="C43" s="602">
        <f t="shared" ref="C43" si="45">+C20/C11</f>
        <v>0.10280078356975458</v>
      </c>
      <c r="D43" s="602">
        <f t="shared" ref="D43" si="46">+D20/D11</f>
        <v>6.3597634854628285E-2</v>
      </c>
      <c r="E43" s="602">
        <f t="shared" ref="E43" si="47">+E20/E11</f>
        <v>6.0337029567163018E-2</v>
      </c>
      <c r="F43" s="602">
        <f t="shared" ref="F43:J43" si="48">+F20/(F11+F13)</f>
        <v>4.4205031293047432E-2</v>
      </c>
      <c r="G43" s="602">
        <f t="shared" si="48"/>
        <v>4.1875965368941788E-2</v>
      </c>
      <c r="H43" s="602">
        <f t="shared" si="48"/>
        <v>3.4300392140169306E-2</v>
      </c>
      <c r="I43" s="603">
        <f t="shared" si="48"/>
        <v>3.6013955747160542E-2</v>
      </c>
      <c r="J43" s="602">
        <f t="shared" si="48"/>
        <v>2.0054109788193674E-2</v>
      </c>
      <c r="K43" s="602">
        <f t="shared" ref="K43" si="49">+K20/(K11+K13)</f>
        <v>2.2869879388494035E-2</v>
      </c>
      <c r="L43" s="603">
        <f t="shared" ref="L43" si="50">+L20/(L11+L13)</f>
        <v>2.2168977266699811E-2</v>
      </c>
      <c r="M43" s="780">
        <f t="shared" ref="M43" si="51">+M20/(M11+M13)</f>
        <v>2.1422940835100542E-2</v>
      </c>
      <c r="N43" s="612">
        <f>+N20/(N11+N13)</f>
        <v>1.5808705691355989E-2</v>
      </c>
    </row>
    <row r="44" spans="2:14" s="25" customFormat="1" ht="20.25" customHeight="1" x14ac:dyDescent="0.35">
      <c r="B44" s="593" t="s">
        <v>30</v>
      </c>
      <c r="C44" s="604">
        <f t="shared" ref="C44" si="52">+C21/C14</f>
        <v>3.0082726801592467E-2</v>
      </c>
      <c r="D44" s="604">
        <f t="shared" ref="D44" si="53">+D21/D14</f>
        <v>2.5023413769893553E-2</v>
      </c>
      <c r="E44" s="604">
        <f t="shared" ref="E44" si="54">+E21/E14</f>
        <v>2.932256423786106E-2</v>
      </c>
      <c r="F44" s="604">
        <f t="shared" ref="F44" si="55">+F21/F14</f>
        <v>3.3068768982987433E-2</v>
      </c>
      <c r="G44" s="604">
        <f t="shared" ref="G44" si="56">+G21/G14</f>
        <v>3.898301835040241E-2</v>
      </c>
      <c r="H44" s="604">
        <f t="shared" ref="H44" si="57">+H21/H14</f>
        <v>2.0029598780959494E-2</v>
      </c>
      <c r="I44" s="605">
        <f t="shared" ref="I44" si="58">+I21/I14</f>
        <v>2.3953430359702099E-2</v>
      </c>
      <c r="J44" s="604">
        <f t="shared" ref="J44" si="59">+J21/J14</f>
        <v>2.1608667412946616E-2</v>
      </c>
      <c r="K44" s="604">
        <f t="shared" ref="K44" si="60">+K21/K14</f>
        <v>2.4594598046256601E-2</v>
      </c>
      <c r="L44" s="605">
        <f t="shared" ref="L44" si="61">+L21/L14</f>
        <v>2.9088822310001965E-2</v>
      </c>
      <c r="M44" s="781">
        <f t="shared" ref="M44:N44" si="62">+M21/M14</f>
        <v>3.0688165553241879E-2</v>
      </c>
      <c r="N44" s="613">
        <f t="shared" si="62"/>
        <v>2.1744568684774663E-2</v>
      </c>
    </row>
    <row r="45" spans="2:14" s="25" customFormat="1" ht="20.25" customHeight="1" x14ac:dyDescent="0.35">
      <c r="B45" s="593" t="s">
        <v>31</v>
      </c>
      <c r="C45" s="604">
        <f t="shared" ref="C45" si="63">+C22/C15</f>
        <v>0.11726074142245757</v>
      </c>
      <c r="D45" s="604">
        <f t="shared" ref="D45" si="64">+D22/D15</f>
        <v>0.10329322457590534</v>
      </c>
      <c r="E45" s="604">
        <f t="shared" ref="E45" si="65">+E22/E15</f>
        <v>0.10687099113600892</v>
      </c>
      <c r="F45" s="604">
        <f t="shared" ref="F45" si="66">+F22/F15</f>
        <v>0.11344200579568688</v>
      </c>
      <c r="G45" s="604">
        <f t="shared" ref="G45" si="67">+G22/G15</f>
        <v>0.11974841145218729</v>
      </c>
      <c r="H45" s="604">
        <f t="shared" ref="H45" si="68">+H22/H15</f>
        <v>5.3530080314146633E-2</v>
      </c>
      <c r="I45" s="605">
        <f t="shared" ref="I45" si="69">+I22/I15</f>
        <v>5.9472986396931736E-2</v>
      </c>
      <c r="J45" s="604">
        <f t="shared" ref="J45" si="70">+J22/J15</f>
        <v>2.5922207531842489E-2</v>
      </c>
      <c r="K45" s="604">
        <f t="shared" ref="K45" si="71">+K22/K15</f>
        <v>3.0993883822514903E-2</v>
      </c>
      <c r="L45" s="605">
        <f t="shared" ref="L45" si="72">+L22/L15</f>
        <v>3.7161029050059247E-2</v>
      </c>
      <c r="M45" s="781">
        <f t="shared" ref="M45:N45" si="73">+M22/M15</f>
        <v>4.1576611392657115E-2</v>
      </c>
      <c r="N45" s="613">
        <f t="shared" si="73"/>
        <v>2.981070591732126E-2</v>
      </c>
    </row>
    <row r="46" spans="2:14" s="25" customFormat="1" ht="20.25" customHeight="1" x14ac:dyDescent="0.35">
      <c r="B46" s="592" t="s">
        <v>309</v>
      </c>
      <c r="C46" s="602">
        <f t="shared" ref="C46" si="74">+C23/C16</f>
        <v>4.9072800354894974E-2</v>
      </c>
      <c r="D46" s="602">
        <f t="shared" ref="D46" si="75">+D23/D16</f>
        <v>4.2337014731784715E-2</v>
      </c>
      <c r="E46" s="602">
        <f t="shared" ref="E46" si="76">+E23/E16</f>
        <v>4.6570015464984856E-2</v>
      </c>
      <c r="F46" s="602">
        <f t="shared" ref="F46" si="77">+F23/F16</f>
        <v>5.0426688327805322E-2</v>
      </c>
      <c r="G46" s="602">
        <f t="shared" ref="G46" si="78">+G23/G16</f>
        <v>5.6530992853848085E-2</v>
      </c>
      <c r="H46" s="602">
        <f t="shared" ref="H46:L46" si="79">+H23/H16</f>
        <v>2.7125688599717385E-2</v>
      </c>
      <c r="I46" s="603">
        <f t="shared" si="79"/>
        <v>3.1615958954245398E-2</v>
      </c>
      <c r="J46" s="602">
        <f t="shared" si="79"/>
        <v>2.2491597321638874E-2</v>
      </c>
      <c r="K46" s="602">
        <f t="shared" si="79"/>
        <v>2.5913907645433647E-2</v>
      </c>
      <c r="L46" s="603">
        <f t="shared" si="79"/>
        <v>3.0793165784730982E-2</v>
      </c>
      <c r="M46" s="780">
        <f t="shared" ref="M46:N46" si="80">+M23/M16</f>
        <v>3.3025198027930615E-2</v>
      </c>
      <c r="N46" s="612">
        <f t="shared" si="80"/>
        <v>2.3531864011676062E-2</v>
      </c>
    </row>
    <row r="47" spans="2:14" s="25" customFormat="1" ht="20.25" customHeight="1" x14ac:dyDescent="0.35">
      <c r="B47" s="592" t="s">
        <v>311</v>
      </c>
      <c r="C47" s="602">
        <f t="shared" ref="C47:F47" si="81">+C24/(C17)</f>
        <v>8.9647821127005242E-2</v>
      </c>
      <c r="D47" s="602">
        <f t="shared" si="81"/>
        <v>5.8445805287722356E-2</v>
      </c>
      <c r="E47" s="602">
        <f t="shared" si="81"/>
        <v>5.7077560397478799E-2</v>
      </c>
      <c r="F47" s="602">
        <f t="shared" si="81"/>
        <v>4.5610269598986918E-2</v>
      </c>
      <c r="G47" s="602">
        <f t="shared" ref="G47" si="82">+G24/(G17)</f>
        <v>4.5311372429198804E-2</v>
      </c>
      <c r="H47" s="602">
        <f t="shared" ref="H47" si="83">+H24/(H17)</f>
        <v>3.2696147772975956E-2</v>
      </c>
      <c r="I47" s="603">
        <f t="shared" ref="I47" si="84">+I24/(I17)</f>
        <v>3.5040357692990139E-2</v>
      </c>
      <c r="J47" s="602">
        <f t="shared" ref="J47" si="85">+J24/(J17)</f>
        <v>2.0569238035413929E-2</v>
      </c>
      <c r="K47" s="602">
        <f t="shared" ref="K47" si="86">+K24/(K17)</f>
        <v>2.3532210475069787E-2</v>
      </c>
      <c r="L47" s="603">
        <f t="shared" ref="L47" si="87">+L24/(L17)</f>
        <v>2.3996841290478695E-2</v>
      </c>
      <c r="M47" s="780">
        <f t="shared" ref="M47:N47" si="88">+M24/(M17)</f>
        <v>2.3852895812579537E-2</v>
      </c>
      <c r="N47" s="612">
        <f t="shared" si="88"/>
        <v>1.7318707746868042E-2</v>
      </c>
    </row>
    <row r="48" spans="2:14" s="25" customFormat="1" ht="20.25" customHeight="1" x14ac:dyDescent="0.35">
      <c r="B48" s="592"/>
      <c r="C48" s="583"/>
      <c r="D48" s="583"/>
      <c r="E48" s="583"/>
      <c r="F48" s="583"/>
      <c r="G48" s="583"/>
      <c r="H48" s="583"/>
      <c r="I48" s="590"/>
      <c r="J48" s="583"/>
      <c r="K48" s="583"/>
      <c r="L48" s="590"/>
      <c r="M48" s="846"/>
      <c r="N48" s="591"/>
    </row>
    <row r="49" spans="2:14" s="25" customFormat="1" ht="20.25" customHeight="1" x14ac:dyDescent="0.35">
      <c r="B49" s="614" t="s">
        <v>47</v>
      </c>
      <c r="C49" s="602"/>
      <c r="D49" s="602"/>
      <c r="E49" s="602"/>
      <c r="F49" s="602"/>
      <c r="G49" s="602"/>
      <c r="H49" s="602"/>
      <c r="I49" s="603"/>
      <c r="J49" s="602"/>
      <c r="K49" s="602"/>
      <c r="L49" s="603"/>
      <c r="M49" s="780"/>
      <c r="N49" s="612"/>
    </row>
    <row r="50" spans="2:14" s="25" customFormat="1" ht="20.25" customHeight="1" x14ac:dyDescent="0.35">
      <c r="B50" s="615" t="s">
        <v>305</v>
      </c>
      <c r="C50" s="602">
        <f t="shared" ref="C50:F50" si="89">+C27/(C11+C13)</f>
        <v>0.14162276073398264</v>
      </c>
      <c r="D50" s="602">
        <f t="shared" si="89"/>
        <v>0.10034350854375435</v>
      </c>
      <c r="E50" s="602">
        <f t="shared" si="89"/>
        <v>9.3731454670876069E-2</v>
      </c>
      <c r="F50" s="602">
        <f t="shared" si="89"/>
        <v>6.5462893318322696E-2</v>
      </c>
      <c r="G50" s="602">
        <f t="shared" ref="G50:K50" si="90">+G27/(G11+G13)</f>
        <v>6.2925696765171832E-2</v>
      </c>
      <c r="H50" s="602">
        <f t="shared" si="90"/>
        <v>5.7818685965783892E-2</v>
      </c>
      <c r="I50" s="603">
        <f t="shared" si="90"/>
        <v>5.595626294025411E-2</v>
      </c>
      <c r="J50" s="602">
        <f t="shared" si="90"/>
        <v>3.3394240961186643E-2</v>
      </c>
      <c r="K50" s="602">
        <f t="shared" si="90"/>
        <v>3.3173576930804305E-2</v>
      </c>
      <c r="L50" s="603">
        <f t="shared" ref="L50" si="91">+L27/(L11+L13)</f>
        <v>2.9502153111792561E-2</v>
      </c>
      <c r="M50" s="780">
        <f t="shared" ref="M50:N50" si="92">+M27/(M11+M13)</f>
        <v>2.8110098894518241E-2</v>
      </c>
      <c r="N50" s="612">
        <f t="shared" si="92"/>
        <v>2.3724238894204819E-2</v>
      </c>
    </row>
    <row r="51" spans="2:14" s="25" customFormat="1" ht="20.25" customHeight="1" x14ac:dyDescent="0.35">
      <c r="B51" s="616" t="s">
        <v>30</v>
      </c>
      <c r="C51" s="604">
        <f t="shared" ref="C51" si="93">+C28/C14</f>
        <v>6.2798297276796811E-2</v>
      </c>
      <c r="D51" s="604">
        <f>+D28/D14</f>
        <v>5.0519073541341712E-2</v>
      </c>
      <c r="E51" s="604">
        <f t="shared" ref="E51" si="94">+E28/E14</f>
        <v>5.3253678230022777E-2</v>
      </c>
      <c r="F51" s="604">
        <f t="shared" ref="F51" si="95">+F28/F14</f>
        <v>5.6513938314996737E-2</v>
      </c>
      <c r="G51" s="604">
        <f t="shared" ref="G51" si="96">+G28/G14</f>
        <v>5.8818181964395401E-2</v>
      </c>
      <c r="H51" s="604">
        <f t="shared" ref="H51" si="97">+H28/H14</f>
        <v>3.9425534716381334E-2</v>
      </c>
      <c r="I51" s="605">
        <f t="shared" ref="I51" si="98">+I28/I14</f>
        <v>4.3088773828232188E-2</v>
      </c>
      <c r="J51" s="604">
        <f t="shared" ref="J51" si="99">+J28/J14</f>
        <v>3.8886455533550843E-2</v>
      </c>
      <c r="K51" s="604">
        <f t="shared" ref="K51" si="100">+K28/K14</f>
        <v>4.1068098383779568E-2</v>
      </c>
      <c r="L51" s="605">
        <f t="shared" ref="L51" si="101">+L28/L14</f>
        <v>4.4774747827163938E-2</v>
      </c>
      <c r="M51" s="781">
        <f t="shared" ref="M51:N51" si="102">+M28/M14</f>
        <v>4.685838711620717E-2</v>
      </c>
      <c r="N51" s="613">
        <f t="shared" si="102"/>
        <v>3.2870841332974236E-2</v>
      </c>
    </row>
    <row r="52" spans="2:14" s="25" customFormat="1" ht="20.25" customHeight="1" x14ac:dyDescent="0.35">
      <c r="B52" s="616" t="s">
        <v>31</v>
      </c>
      <c r="C52" s="604">
        <f t="shared" ref="C52" si="103">+C29/C15</f>
        <v>0.15182910234707575</v>
      </c>
      <c r="D52" s="604">
        <f t="shared" ref="D52" si="104">+D29/D15</f>
        <v>0.13047009501635609</v>
      </c>
      <c r="E52" s="604">
        <f t="shared" ref="E52" si="105">+E29/E15</f>
        <v>0.1322492843558509</v>
      </c>
      <c r="F52" s="604">
        <f t="shared" ref="F52" si="106">+F29/F15</f>
        <v>0.1407490739737417</v>
      </c>
      <c r="G52" s="604">
        <f t="shared" ref="G52" si="107">+G29/G15</f>
        <v>0.14404053490410168</v>
      </c>
      <c r="H52" s="604">
        <f t="shared" ref="H52" si="108">+H29/H15</f>
        <v>7.4879539859700375E-2</v>
      </c>
      <c r="I52" s="605">
        <f t="shared" ref="I52" si="109">+I29/I15</f>
        <v>7.9375054982075616E-2</v>
      </c>
      <c r="J52" s="604">
        <f t="shared" ref="J52" si="110">+J29/J15</f>
        <v>4.0371599522931657E-2</v>
      </c>
      <c r="K52" s="604">
        <f t="shared" ref="K52" si="111">+K29/K15</f>
        <v>4.3917526704932153E-2</v>
      </c>
      <c r="L52" s="605">
        <f t="shared" ref="L52" si="112">+L29/L15</f>
        <v>4.8483424328114137E-2</v>
      </c>
      <c r="M52" s="781">
        <f t="shared" ref="M52:N52" si="113">+M29/M15</f>
        <v>5.3266865414184912E-2</v>
      </c>
      <c r="N52" s="613">
        <f t="shared" si="113"/>
        <v>3.906935794179571E-2</v>
      </c>
    </row>
    <row r="53" spans="2:14" s="25" customFormat="1" ht="20.25" customHeight="1" x14ac:dyDescent="0.35">
      <c r="B53" s="615" t="s">
        <v>309</v>
      </c>
      <c r="C53" s="602">
        <f t="shared" ref="C53" si="114">+C30/C16</f>
        <v>8.2191966014805495E-2</v>
      </c>
      <c r="D53" s="602">
        <f t="shared" ref="D53" si="115">+D30/D16</f>
        <v>6.8204565151188154E-2</v>
      </c>
      <c r="E53" s="602">
        <f t="shared" ref="E53" si="116">+E30/E16</f>
        <v>7.0822994827531252E-2</v>
      </c>
      <c r="F53" s="602">
        <f t="shared" ref="F53" si="117">+F30/F16</f>
        <v>7.4705898086029135E-2</v>
      </c>
      <c r="G53" s="602">
        <f t="shared" ref="G53" si="118">+G30/G16</f>
        <v>7.7334524411028838E-2</v>
      </c>
      <c r="H53" s="602">
        <f t="shared" ref="H53" si="119">+H30/H16</f>
        <v>4.6935420945403587E-2</v>
      </c>
      <c r="I53" s="603">
        <f t="shared" ref="I53" si="120">+I30/I16</f>
        <v>5.0916705760701494E-2</v>
      </c>
      <c r="J53" s="602">
        <f t="shared" ref="J53" si="121">+J30/J16</f>
        <v>3.9190446689491343E-2</v>
      </c>
      <c r="K53" s="602">
        <f>+K30/K16</f>
        <v>4.1655551150807206E-2</v>
      </c>
      <c r="L53" s="603">
        <f>+L30/L16</f>
        <v>4.5557787558159528E-2</v>
      </c>
      <c r="M53" s="780">
        <f>+M30/M16</f>
        <v>4.8233865500964083E-2</v>
      </c>
      <c r="N53" s="612">
        <f>+N30/N16</f>
        <v>3.4244309134137556E-2</v>
      </c>
    </row>
    <row r="54" spans="2:14" s="25" customFormat="1" ht="20.25" customHeight="1" x14ac:dyDescent="0.35">
      <c r="B54" s="615" t="s">
        <v>311</v>
      </c>
      <c r="C54" s="602">
        <f t="shared" ref="C54" si="122">+C31/(C17)</f>
        <v>0.12707371265678086</v>
      </c>
      <c r="D54" s="602">
        <f t="shared" ref="D54" si="123">+D31/(D17)</f>
        <v>9.2555666144884877E-2</v>
      </c>
      <c r="E54" s="602">
        <f t="shared" ref="E54" si="124">+E31/(E17)</f>
        <v>8.8307662842805112E-2</v>
      </c>
      <c r="F54" s="602">
        <f>+F31/(F17)</f>
        <v>6.7550540433713377E-2</v>
      </c>
      <c r="G54" s="602">
        <f t="shared" ref="G54" si="125">+G31/(G17)</f>
        <v>6.630339007046146E-2</v>
      </c>
      <c r="H54" s="602">
        <f t="shared" ref="H54" si="126">+H31/(H17)</f>
        <v>5.5385217250710307E-2</v>
      </c>
      <c r="I54" s="603">
        <f t="shared" ref="I54:N54" si="127">+I31/(I17)</f>
        <v>5.4840640693371863E-2</v>
      </c>
      <c r="J54" s="602">
        <f t="shared" si="127"/>
        <v>3.4619186425063307E-2</v>
      </c>
      <c r="K54" s="602">
        <f t="shared" si="127"/>
        <v>3.5019116698260362E-2</v>
      </c>
      <c r="L54" s="603">
        <f t="shared" si="127"/>
        <v>3.2905083894451168E-2</v>
      </c>
      <c r="M54" s="780">
        <f t="shared" si="127"/>
        <v>3.2324782814917595E-2</v>
      </c>
      <c r="N54" s="612">
        <f t="shared" si="127"/>
        <v>2.5781082354817866E-2</v>
      </c>
    </row>
    <row r="55" spans="2:14" s="25" customFormat="1" ht="20.25" customHeight="1" x14ac:dyDescent="0.35">
      <c r="B55" s="615"/>
      <c r="C55" s="602"/>
      <c r="D55" s="602"/>
      <c r="E55" s="602"/>
      <c r="F55" s="602"/>
      <c r="G55" s="602"/>
      <c r="H55" s="602"/>
      <c r="I55" s="603"/>
      <c r="J55" s="602"/>
      <c r="K55" s="602"/>
      <c r="L55" s="603"/>
      <c r="M55" s="780"/>
      <c r="N55" s="612"/>
    </row>
    <row r="56" spans="2:14" s="25" customFormat="1" ht="20.25" customHeight="1" x14ac:dyDescent="0.35">
      <c r="B56" s="589" t="s">
        <v>34</v>
      </c>
      <c r="C56" s="583"/>
      <c r="D56" s="583"/>
      <c r="E56" s="583"/>
      <c r="F56" s="583"/>
      <c r="G56" s="583"/>
      <c r="H56" s="583"/>
      <c r="I56" s="590"/>
      <c r="J56" s="583"/>
      <c r="K56" s="583"/>
      <c r="L56" s="590"/>
      <c r="M56" s="846"/>
      <c r="N56" s="591"/>
    </row>
    <row r="57" spans="2:14" s="25" customFormat="1" ht="20.25" customHeight="1" x14ac:dyDescent="0.35">
      <c r="B57" s="592" t="s">
        <v>305</v>
      </c>
      <c r="C57" s="602">
        <f t="shared" ref="C57" si="128">+C36/C11</f>
        <v>6.2809897786151481E-2</v>
      </c>
      <c r="D57" s="602">
        <f t="shared" ref="D57" si="129">+D36/D11</f>
        <v>4.5427630647637919E-2</v>
      </c>
      <c r="E57" s="602">
        <f t="shared" ref="E57" si="130">+E36/E11</f>
        <v>4.6476170103603914E-2</v>
      </c>
      <c r="F57" s="602">
        <f t="shared" ref="F57:J57" si="131">+F36/(F11+F13)</f>
        <v>3.7627446039585156E-2</v>
      </c>
      <c r="G57" s="602">
        <f t="shared" si="131"/>
        <v>3.7598675494725127E-2</v>
      </c>
      <c r="H57" s="602">
        <f t="shared" si="131"/>
        <v>3.4822639136604362E-2</v>
      </c>
      <c r="I57" s="603">
        <f t="shared" si="131"/>
        <v>3.4368845096702988E-2</v>
      </c>
      <c r="J57" s="602">
        <f t="shared" si="131"/>
        <v>2.3029962781002746E-2</v>
      </c>
      <c r="K57" s="602">
        <f t="shared" ref="K57" si="132">+K36/(K11+K13)</f>
        <v>2.2569033895770051E-2</v>
      </c>
      <c r="L57" s="603">
        <f t="shared" ref="L57" si="133">+L36/(L11+L13)</f>
        <v>2.0132420856645006E-2</v>
      </c>
      <c r="M57" s="780">
        <f t="shared" ref="M57:N57" si="134">+M36/(M11+M13)</f>
        <v>2.0159216967302395E-2</v>
      </c>
      <c r="N57" s="612">
        <f t="shared" si="134"/>
        <v>1.6967191718850781E-2</v>
      </c>
    </row>
    <row r="58" spans="2:14" s="25" customFormat="1" ht="20.25" customHeight="1" x14ac:dyDescent="0.35">
      <c r="B58" s="593" t="s">
        <v>30</v>
      </c>
      <c r="C58" s="604">
        <f t="shared" ref="C58" si="135">+C37/C14</f>
        <v>1.1490448807867655E-2</v>
      </c>
      <c r="D58" s="604">
        <f t="shared" ref="D58" si="136">+D37/D14</f>
        <v>1.1538421198313397E-2</v>
      </c>
      <c r="E58" s="604">
        <f t="shared" ref="E58" si="137">+E37/E14</f>
        <v>1.203868869997159E-2</v>
      </c>
      <c r="F58" s="604">
        <f t="shared" ref="F58" si="138">+F37/F14</f>
        <v>1.2564070786963656E-2</v>
      </c>
      <c r="G58" s="604">
        <f t="shared" ref="G58" si="139">+G37/G14</f>
        <v>1.3210498012167617E-2</v>
      </c>
      <c r="H58" s="604">
        <f t="shared" ref="H58" si="140">+H37/H14</f>
        <v>7.3318108709664476E-3</v>
      </c>
      <c r="I58" s="605">
        <f t="shared" ref="I58" si="141">+I37/I14</f>
        <v>7.7342428713024092E-3</v>
      </c>
      <c r="J58" s="604">
        <f t="shared" ref="J58" si="142">+J37/J14</f>
        <v>6.5356661670205787E-3</v>
      </c>
      <c r="K58" s="604">
        <f t="shared" ref="K58" si="143">+K37/K14</f>
        <v>6.7723061702229777E-3</v>
      </c>
      <c r="L58" s="605">
        <f t="shared" ref="L58" si="144">+L37/L14</f>
        <v>7.1203051659313637E-3</v>
      </c>
      <c r="M58" s="781">
        <f t="shared" ref="M58:N58" si="145">+M37/M14</f>
        <v>8.7116776450158924E-3</v>
      </c>
      <c r="N58" s="613">
        <f t="shared" si="145"/>
        <v>6.7429794079894899E-3</v>
      </c>
    </row>
    <row r="59" spans="2:14" s="25" customFormat="1" ht="20.25" customHeight="1" x14ac:dyDescent="0.35">
      <c r="B59" s="593" t="s">
        <v>31</v>
      </c>
      <c r="C59" s="604">
        <f t="shared" ref="C59" si="146">+C38/C15</f>
        <v>0.11923372981206877</v>
      </c>
      <c r="D59" s="604">
        <f t="shared" ref="D59" si="147">+D38/D15</f>
        <v>0.10731453661451865</v>
      </c>
      <c r="E59" s="604">
        <f t="shared" ref="E59" si="148">+E38/E15</f>
        <v>0.10516426249863746</v>
      </c>
      <c r="F59" s="604">
        <f t="shared" ref="F59" si="149">+F38/F15</f>
        <v>0.11260245007101902</v>
      </c>
      <c r="G59" s="604">
        <f t="shared" ref="G59" si="150">+G38/G15</f>
        <v>0.11223742464710711</v>
      </c>
      <c r="H59" s="604">
        <f t="shared" ref="H59" si="151">+H38/H15</f>
        <v>6.6318332566348476E-2</v>
      </c>
      <c r="I59" s="605">
        <f t="shared" ref="I59" si="152">+I38/I15</f>
        <v>6.944399960421864E-2</v>
      </c>
      <c r="J59" s="604">
        <f t="shared" ref="J59" si="153">+J38/J15</f>
        <v>4.7828400267556949E-2</v>
      </c>
      <c r="K59" s="604">
        <f t="shared" ref="K59" si="154">+K38/K15</f>
        <v>5.0086773505683288E-2</v>
      </c>
      <c r="L59" s="605">
        <f t="shared" ref="L59" si="155">+L38/L15</f>
        <v>5.1323268906638145E-2</v>
      </c>
      <c r="M59" s="781">
        <f t="shared" ref="M59:N59" si="156">+M38/M15</f>
        <v>5.4866995454939976E-2</v>
      </c>
      <c r="N59" s="613">
        <f t="shared" si="156"/>
        <v>4.6323392549047368E-2</v>
      </c>
    </row>
    <row r="60" spans="2:14" s="25" customFormat="1" ht="20.25" customHeight="1" x14ac:dyDescent="0.35">
      <c r="B60" s="592" t="s">
        <v>309</v>
      </c>
      <c r="C60" s="602">
        <f t="shared" ref="C60:D61" si="157">+C39/C16</f>
        <v>3.4960274773074021E-2</v>
      </c>
      <c r="D60" s="602">
        <f t="shared" ref="D60" si="158">+D39/D16</f>
        <v>3.2724488047332072E-2</v>
      </c>
      <c r="E60" s="602">
        <f t="shared" ref="E60" si="159">+E39/E16</f>
        <v>3.2750634207260383E-2</v>
      </c>
      <c r="F60" s="602">
        <f t="shared" ref="F60" si="160">+F39/F16</f>
        <v>3.4169000336404957E-2</v>
      </c>
      <c r="G60" s="602">
        <f t="shared" ref="G60" si="161">+G39/G16</f>
        <v>3.4726173439569213E-2</v>
      </c>
      <c r="H60" s="602">
        <f t="shared" ref="H60" si="162">+H39/H16</f>
        <v>1.982636727404034E-2</v>
      </c>
      <c r="I60" s="603">
        <f t="shared" ref="I60" si="163">+I39/I16</f>
        <v>2.1046705871477958E-2</v>
      </c>
      <c r="J60" s="602">
        <f t="shared" ref="J60" si="164">+J39/J16</f>
        <v>1.4987793409173725E-2</v>
      </c>
      <c r="K60" s="602">
        <f t="shared" ref="K60" si="165">+K39/K16</f>
        <v>1.5702239062253702E-2</v>
      </c>
      <c r="L60" s="603">
        <f t="shared" ref="L60" si="166">+L39/L16</f>
        <v>1.6453197055494442E-2</v>
      </c>
      <c r="M60" s="780">
        <f t="shared" ref="M60:N60" si="167">+M39/M16</f>
        <v>1.8618185717169271E-2</v>
      </c>
      <c r="N60" s="612">
        <f t="shared" si="167"/>
        <v>1.5513210486925062E-2</v>
      </c>
    </row>
    <row r="61" spans="2:14" s="25" customFormat="1" ht="20.25" customHeight="1" x14ac:dyDescent="0.35">
      <c r="B61" s="592" t="s">
        <v>311</v>
      </c>
      <c r="C61" s="602">
        <f t="shared" si="157"/>
        <v>5.5992127536505738E-2</v>
      </c>
      <c r="D61" s="602">
        <f t="shared" si="157"/>
        <v>4.2349431363574656E-2</v>
      </c>
      <c r="E61" s="602">
        <f t="shared" ref="E61:I61" si="168">+E40/E17</f>
        <v>4.3226521286548691E-2</v>
      </c>
      <c r="F61" s="602">
        <f t="shared" si="168"/>
        <v>3.6846313239437212E-2</v>
      </c>
      <c r="G61" s="602">
        <f t="shared" si="168"/>
        <v>3.6925308361770305E-2</v>
      </c>
      <c r="H61" s="602">
        <f t="shared" si="168"/>
        <v>3.1469513181116723E-2</v>
      </c>
      <c r="I61" s="603">
        <f t="shared" si="168"/>
        <v>3.1419682230563427E-2</v>
      </c>
      <c r="J61" s="602">
        <f t="shared" ref="J61" si="169">+J40/J17</f>
        <v>2.1330364914135598E-2</v>
      </c>
      <c r="K61" s="602">
        <f t="shared" ref="K61" si="170">+K40/K17</f>
        <v>2.1074930917912633E-2</v>
      </c>
      <c r="L61" s="603">
        <f t="shared" ref="L61" si="171">+L40/L17</f>
        <v>1.9352623336276169E-2</v>
      </c>
      <c r="M61" s="780">
        <f t="shared" ref="M61:N61" si="172">+M40/M17</f>
        <v>1.9836466273667905E-2</v>
      </c>
      <c r="N61" s="612">
        <f t="shared" si="172"/>
        <v>1.6682914929767322E-2</v>
      </c>
    </row>
    <row r="62" spans="2:14" s="25" customFormat="1" ht="20.25" customHeight="1" x14ac:dyDescent="0.35">
      <c r="B62" s="592"/>
      <c r="C62" s="583"/>
      <c r="D62" s="583"/>
      <c r="E62" s="583"/>
      <c r="F62" s="583"/>
      <c r="G62" s="583"/>
      <c r="H62" s="583"/>
      <c r="I62" s="590"/>
      <c r="J62" s="583"/>
      <c r="K62" s="583"/>
      <c r="L62" s="590"/>
      <c r="M62" s="846"/>
      <c r="N62" s="591"/>
    </row>
    <row r="63" spans="2:14" s="25" customFormat="1" ht="20.25" customHeight="1" x14ac:dyDescent="0.35">
      <c r="B63" s="589" t="s">
        <v>33</v>
      </c>
      <c r="C63" s="583"/>
      <c r="D63" s="583"/>
      <c r="E63" s="583"/>
      <c r="F63" s="583"/>
      <c r="G63" s="583"/>
      <c r="H63" s="583"/>
      <c r="I63" s="590"/>
      <c r="J63" s="583"/>
      <c r="K63" s="583"/>
      <c r="L63" s="590"/>
      <c r="M63" s="846"/>
      <c r="N63" s="591"/>
    </row>
    <row r="64" spans="2:14" s="25" customFormat="1" ht="20.25" customHeight="1" x14ac:dyDescent="0.35">
      <c r="B64" s="592" t="s">
        <v>305</v>
      </c>
      <c r="C64" s="602">
        <f t="shared" ref="C64" si="173">+C36/C20</f>
        <v>0.61098656649375016</v>
      </c>
      <c r="D64" s="602">
        <f t="shared" ref="D64" si="174">+D36/D20</f>
        <v>0.71429748529920278</v>
      </c>
      <c r="E64" s="602">
        <f t="shared" ref="E64" si="175">+E36/E20</f>
        <v>0.77027607154359246</v>
      </c>
      <c r="F64" s="602">
        <f t="shared" ref="F64" si="176">+F36/F20</f>
        <v>0.85120279160402279</v>
      </c>
      <c r="G64" s="602">
        <f>+G36/G20</f>
        <v>0.89785811893451872</v>
      </c>
      <c r="H64" s="602">
        <f t="shared" ref="H64" si="177">+H36/H20</f>
        <v>1.0152256858843154</v>
      </c>
      <c r="I64" s="603">
        <f t="shared" ref="I64" si="178">+I36/I20</f>
        <v>0.95432019015052927</v>
      </c>
      <c r="J64" s="602">
        <f t="shared" ref="J64" si="179">+J36/J20</f>
        <v>1.1483911788775099</v>
      </c>
      <c r="K64" s="602">
        <f t="shared" ref="K64" si="180">+K36/K20</f>
        <v>0.98684533977580402</v>
      </c>
      <c r="L64" s="603">
        <f t="shared" ref="L64" si="181">+L36/L20</f>
        <v>0.9081348505366581</v>
      </c>
      <c r="M64" s="780">
        <f t="shared" ref="M64" si="182">+M36/M20</f>
        <v>0.94101071941870884</v>
      </c>
      <c r="N64" s="612">
        <f>+N36/N20</f>
        <v>1.073281522859157</v>
      </c>
    </row>
    <row r="65" spans="2:14" s="25" customFormat="1" ht="20.25" customHeight="1" x14ac:dyDescent="0.35">
      <c r="B65" s="593" t="s">
        <v>30</v>
      </c>
      <c r="C65" s="604">
        <f t="shared" ref="C65" si="183">+C37/C21</f>
        <v>0.38196167799720182</v>
      </c>
      <c r="D65" s="604">
        <f t="shared" ref="D65" si="184">+D37/D21</f>
        <v>0.46110499967816665</v>
      </c>
      <c r="E65" s="604">
        <f t="shared" ref="E65" si="185">+E37/E21</f>
        <v>0.41056057043017169</v>
      </c>
      <c r="F65" s="604">
        <f t="shared" ref="F65" si="186">+F37/F21</f>
        <v>0.3799376624339228</v>
      </c>
      <c r="G65" s="604">
        <f t="shared" ref="G65" si="187">+G37/G21</f>
        <v>0.33887827498178447</v>
      </c>
      <c r="H65" s="604">
        <f t="shared" ref="H65" si="188">+H37/H21</f>
        <v>0.36604881361558789</v>
      </c>
      <c r="I65" s="605">
        <f t="shared" ref="I65" si="189">+I37/I21</f>
        <v>0.322886649434315</v>
      </c>
      <c r="J65" s="604">
        <f t="shared" ref="J65" si="190">+J37/J21</f>
        <v>0.30245577120155037</v>
      </c>
      <c r="K65" s="604">
        <f t="shared" ref="K65" si="191">+K37/K21</f>
        <v>0.2753574649801504</v>
      </c>
      <c r="L65" s="605">
        <f t="shared" ref="L65" si="192">+L37/L21</f>
        <v>0.24477804876559414</v>
      </c>
      <c r="M65" s="781">
        <f t="shared" ref="M65:N65" si="193">+M37/M21</f>
        <v>0.28387743248783393</v>
      </c>
      <c r="N65" s="613">
        <f t="shared" si="193"/>
        <v>0.3100994784371538</v>
      </c>
    </row>
    <row r="66" spans="2:14" s="25" customFormat="1" ht="20.25" customHeight="1" x14ac:dyDescent="0.35">
      <c r="B66" s="593" t="s">
        <v>31</v>
      </c>
      <c r="C66" s="604">
        <f t="shared" ref="C66" si="194">+C38/C22</f>
        <v>1.0168256516688996</v>
      </c>
      <c r="D66" s="604">
        <f t="shared" ref="D66" si="195">+D38/D22</f>
        <v>1.0389310340065745</v>
      </c>
      <c r="E66" s="604">
        <f t="shared" ref="E66" si="196">+E38/E22</f>
        <v>0.98403001020923053</v>
      </c>
      <c r="F66" s="604">
        <f t="shared" ref="F66" si="197">+F38/F22</f>
        <v>0.99259925176058739</v>
      </c>
      <c r="G66" s="604">
        <f t="shared" ref="G66" si="198">+G38/G22</f>
        <v>0.93727693992768202</v>
      </c>
      <c r="H66" s="604">
        <f t="shared" ref="H66" si="199">+H38/H22</f>
        <v>1.2388984320059433</v>
      </c>
      <c r="I66" s="605">
        <f t="shared" ref="I66" si="200">+I38/I22</f>
        <v>1.167656171505141</v>
      </c>
      <c r="J66" s="604">
        <f t="shared" ref="J66" si="201">+J38/J22</f>
        <v>1.8450743521285828</v>
      </c>
      <c r="K66" s="604">
        <f t="shared" ref="K66" si="202">+K38/K22</f>
        <v>1.6160212057483008</v>
      </c>
      <c r="L66" s="605">
        <f t="shared" ref="L66" si="203">+L38/L22</f>
        <v>1.3811046200443235</v>
      </c>
      <c r="M66" s="781">
        <f t="shared" ref="M66:N66" si="204">+M38/M22</f>
        <v>1.3196601073802301</v>
      </c>
      <c r="N66" s="613">
        <f t="shared" si="204"/>
        <v>1.5539180010538278</v>
      </c>
    </row>
    <row r="67" spans="2:14" s="25" customFormat="1" ht="20.25" customHeight="1" x14ac:dyDescent="0.35">
      <c r="B67" s="592" t="s">
        <v>309</v>
      </c>
      <c r="C67" s="602">
        <f t="shared" ref="C67" si="205">+C39/C23</f>
        <v>0.71241654277402089</v>
      </c>
      <c r="D67" s="602">
        <f t="shared" ref="D67" si="206">+D39/D23</f>
        <v>0.77295218509499697</v>
      </c>
      <c r="E67" s="602">
        <f t="shared" ref="E67" si="207">+E39/E23</f>
        <v>0.70325581557697747</v>
      </c>
      <c r="F67" s="602">
        <f t="shared" ref="F67" si="208">+F39/F23</f>
        <v>0.67759754743926226</v>
      </c>
      <c r="G67" s="602">
        <f t="shared" ref="G67" si="209">+G39/G23</f>
        <v>0.61428557480581014</v>
      </c>
      <c r="H67" s="602">
        <f t="shared" ref="H67" si="210">+H39/H23</f>
        <v>0.73090742751676741</v>
      </c>
      <c r="I67" s="603">
        <f t="shared" ref="I67" si="211">+I39/I23</f>
        <v>0.6656987979373562</v>
      </c>
      <c r="J67" s="602">
        <f t="shared" ref="J67" si="212">+J39/J23</f>
        <v>0.66637301009982808</v>
      </c>
      <c r="K67" s="602">
        <f t="shared" ref="K67" si="213">+K39/K23</f>
        <v>0.60593868269884921</v>
      </c>
      <c r="L67" s="603">
        <f t="shared" ref="L67" si="214">+L39/L23</f>
        <v>0.53431326842181592</v>
      </c>
      <c r="M67" s="780">
        <f t="shared" ref="M67:N67" si="215">+M39/M23</f>
        <v>0.56375697433890304</v>
      </c>
      <c r="N67" s="612">
        <f t="shared" si="215"/>
        <v>0.65924273908890951</v>
      </c>
    </row>
    <row r="68" spans="2:14" s="25" customFormat="1" ht="20.25" customHeight="1" x14ac:dyDescent="0.35">
      <c r="B68" s="592" t="s">
        <v>311</v>
      </c>
      <c r="C68" s="602">
        <f t="shared" ref="C68" si="216">+C40/C24</f>
        <v>0.62457878878261808</v>
      </c>
      <c r="D68" s="602">
        <f t="shared" ref="D68" si="217">+D40/D24</f>
        <v>0.7245931706320583</v>
      </c>
      <c r="E68" s="602">
        <f t="shared" ref="E68" si="218">+E40/E24</f>
        <v>0.75732951768657009</v>
      </c>
      <c r="F68" s="602">
        <f t="shared" ref="F68" si="219">+F40/F24</f>
        <v>0.80785124848846823</v>
      </c>
      <c r="G68" s="602">
        <f t="shared" ref="G68" si="220">+G40/G24</f>
        <v>0.81492363577086246</v>
      </c>
      <c r="H68" s="602">
        <f t="shared" ref="H68" si="221">+H40/H24</f>
        <v>0.96248381918333903</v>
      </c>
      <c r="I68" s="603">
        <f t="shared" ref="I68" si="222">+I40/I24</f>
        <v>0.89667127561454574</v>
      </c>
      <c r="J68" s="602">
        <f t="shared" ref="J68" si="223">+J40/J24</f>
        <v>1.0370031635304742</v>
      </c>
      <c r="K68" s="602">
        <f t="shared" ref="K68" si="224">+K40/K24</f>
        <v>0.89557803931082403</v>
      </c>
      <c r="L68" s="603">
        <f t="shared" ref="L68" si="225">+L40/L24</f>
        <v>0.80646544693174982</v>
      </c>
      <c r="M68" s="780">
        <f t="shared" ref="M68:N68" si="226">+M40/M24</f>
        <v>0.83161669046516984</v>
      </c>
      <c r="N68" s="612">
        <f t="shared" si="226"/>
        <v>0.96328866873940422</v>
      </c>
    </row>
    <row r="69" spans="2:14" s="25" customFormat="1" ht="20.25" customHeight="1" x14ac:dyDescent="0.35">
      <c r="B69" s="592"/>
      <c r="C69" s="602"/>
      <c r="D69" s="602"/>
      <c r="E69" s="602"/>
      <c r="F69" s="602"/>
      <c r="G69" s="602"/>
      <c r="H69" s="602"/>
      <c r="I69" s="603"/>
      <c r="J69" s="602"/>
      <c r="K69" s="602"/>
      <c r="L69" s="603"/>
      <c r="M69" s="780"/>
      <c r="N69" s="612"/>
    </row>
    <row r="70" spans="2:14" s="25" customFormat="1" ht="20.25" customHeight="1" x14ac:dyDescent="0.35">
      <c r="B70" s="589" t="s">
        <v>49</v>
      </c>
      <c r="C70" s="583"/>
      <c r="D70" s="583"/>
      <c r="E70" s="583"/>
      <c r="F70" s="583"/>
      <c r="G70" s="583"/>
      <c r="H70" s="583"/>
      <c r="I70" s="590"/>
      <c r="J70" s="583"/>
      <c r="K70" s="583"/>
      <c r="L70" s="590"/>
      <c r="M70" s="846"/>
      <c r="N70" s="591"/>
    </row>
    <row r="71" spans="2:14" s="25" customFormat="1" ht="20.25" customHeight="1" x14ac:dyDescent="0.35">
      <c r="B71" s="592" t="s">
        <v>305</v>
      </c>
      <c r="C71" s="602">
        <f t="shared" ref="C71" si="227">+C36/C27</f>
        <v>0.44350143621427179</v>
      </c>
      <c r="D71" s="602">
        <f t="shared" ref="D71" si="228">+D36/D27</f>
        <v>0.4527211705760657</v>
      </c>
      <c r="E71" s="602">
        <f t="shared" ref="E71" si="229">+E36/E27</f>
        <v>0.49584390071399198</v>
      </c>
      <c r="F71" s="602">
        <f t="shared" ref="F71" si="230">+F36/F27</f>
        <v>0.57479045199875778</v>
      </c>
      <c r="G71" s="602">
        <f t="shared" ref="G71" si="231">+G36/G27</f>
        <v>0.59750908496153954</v>
      </c>
      <c r="H71" s="602">
        <f t="shared" ref="H71" si="232">+H36/H27</f>
        <v>0.60227309830617393</v>
      </c>
      <c r="I71" s="603">
        <f t="shared" ref="I71" si="233">+I36/I27</f>
        <v>0.61420908564604215</v>
      </c>
      <c r="J71" s="602">
        <f t="shared" ref="J71" si="234">+J36/J27</f>
        <v>0.68963875560968557</v>
      </c>
      <c r="K71" s="602">
        <f t="shared" ref="K71" si="235">+K36/K27</f>
        <v>0.68033163691832432</v>
      </c>
      <c r="L71" s="603">
        <f t="shared" ref="L71" si="236">+L36/L27</f>
        <v>0.68240513769816014</v>
      </c>
      <c r="M71" s="780">
        <f t="shared" ref="M71:N71" si="237">+M36/M27</f>
        <v>0.71715211828136449</v>
      </c>
      <c r="N71" s="612">
        <f t="shared" si="237"/>
        <v>0.71518381662374009</v>
      </c>
    </row>
    <row r="72" spans="2:14" s="25" customFormat="1" ht="20.25" customHeight="1" x14ac:dyDescent="0.35">
      <c r="B72" s="593" t="s">
        <v>30</v>
      </c>
      <c r="C72" s="604">
        <f t="shared" ref="C72" si="238">+C37/C28</f>
        <v>0.18297389111079024</v>
      </c>
      <c r="D72" s="604">
        <f t="shared" ref="D72" si="239">+D37/D28</f>
        <v>0.22839732381218475</v>
      </c>
      <c r="E72" s="604">
        <f t="shared" ref="E72" si="240">+E37/E28</f>
        <v>0.22606304578571906</v>
      </c>
      <c r="F72" s="604">
        <f t="shared" ref="F72" si="241">+F37/F28</f>
        <v>0.22231808933460245</v>
      </c>
      <c r="G72" s="604">
        <f t="shared" ref="G72" si="242">+G37/G28</f>
        <v>0.22459888372891854</v>
      </c>
      <c r="H72" s="604">
        <f t="shared" ref="H72" si="243">+H37/H28</f>
        <v>0.185966047733021</v>
      </c>
      <c r="I72" s="605">
        <f t="shared" ref="I72" si="244">+I37/I28</f>
        <v>0.1794955433666775</v>
      </c>
      <c r="J72" s="604">
        <f t="shared" ref="J72" si="245">+J37/J28</f>
        <v>0.1680705036585726</v>
      </c>
      <c r="K72" s="604">
        <f t="shared" ref="K72" si="246">+K37/K28</f>
        <v>0.16490430374779166</v>
      </c>
      <c r="L72" s="605">
        <f t="shared" ref="L72" si="247">+L37/L28</f>
        <v>0.15902501993794857</v>
      </c>
      <c r="M72" s="781">
        <f t="shared" ref="M72:N72" si="248">+M37/M28</f>
        <v>0.18591501289643697</v>
      </c>
      <c r="N72" s="613">
        <f t="shared" si="248"/>
        <v>0.20513558931104389</v>
      </c>
    </row>
    <row r="73" spans="2:14" s="25" customFormat="1" ht="20.25" customHeight="1" x14ac:dyDescent="0.35">
      <c r="B73" s="593" t="s">
        <v>31</v>
      </c>
      <c r="C73" s="604">
        <f t="shared" ref="C73" si="249">+C38/C29</f>
        <v>0.7853153839999979</v>
      </c>
      <c r="D73" s="604">
        <f t="shared" ref="D73" si="250">+D38/D29</f>
        <v>0.8225221005707507</v>
      </c>
      <c r="E73" s="604">
        <f t="shared" ref="E73" si="251">+E38/E29</f>
        <v>0.79519721419184253</v>
      </c>
      <c r="F73" s="604">
        <f t="shared" ref="F73" si="252">+F38/F29</f>
        <v>0.80002267078521772</v>
      </c>
      <c r="G73" s="604">
        <f t="shared" ref="G73" si="253">+G38/G29</f>
        <v>0.77920721914724744</v>
      </c>
      <c r="H73" s="604">
        <f t="shared" ref="H73" si="254">+H38/H29</f>
        <v>0.88566693506139604</v>
      </c>
      <c r="I73" s="605">
        <f t="shared" ref="I73" si="255">+I38/I29</f>
        <v>0.87488442836229097</v>
      </c>
      <c r="J73" s="604">
        <f t="shared" ref="J73" si="256">+J38/J29</f>
        <v>1.1847041195479442</v>
      </c>
      <c r="K73" s="604">
        <f t="shared" ref="K73" si="257">+K38/K29</f>
        <v>1.140473457036876</v>
      </c>
      <c r="L73" s="605">
        <f t="shared" ref="L73" si="258">+L38/L29</f>
        <v>1.0585735149255384</v>
      </c>
      <c r="M73" s="781">
        <f t="shared" ref="M73:N73" si="259">+M38/M29</f>
        <v>1.030039876165286</v>
      </c>
      <c r="N73" s="613">
        <f t="shared" si="259"/>
        <v>1.1856706889849198</v>
      </c>
    </row>
    <row r="74" spans="2:14" s="25" customFormat="1" ht="20.25" customHeight="1" x14ac:dyDescent="0.35">
      <c r="B74" s="592" t="s">
        <v>309</v>
      </c>
      <c r="C74" s="602">
        <f t="shared" ref="C74" si="260">+C39/C30</f>
        <v>0.42534905135103496</v>
      </c>
      <c r="D74" s="602">
        <f t="shared" ref="D74" si="261">+D39/D30</f>
        <v>0.47979908639241575</v>
      </c>
      <c r="E74" s="602">
        <f t="shared" ref="E74" si="262">+E39/E30</f>
        <v>0.46242938874605632</v>
      </c>
      <c r="F74" s="602">
        <f t="shared" ref="F74" si="263">+F39/F30</f>
        <v>0.45738022313923504</v>
      </c>
      <c r="G74" s="602">
        <f t="shared" ref="G74" si="264">+G39/G30</f>
        <v>0.44903843017125794</v>
      </c>
      <c r="H74" s="602">
        <f t="shared" ref="H74" si="265">+H39/H30</f>
        <v>0.42241801340405249</v>
      </c>
      <c r="I74" s="603">
        <f t="shared" ref="I74" si="266">+I39/I30</f>
        <v>0.41335560808653521</v>
      </c>
      <c r="J74" s="602">
        <f t="shared" ref="J74" si="267">+J39/J30</f>
        <v>0.38243487061842046</v>
      </c>
      <c r="K74" s="602">
        <f t="shared" ref="K74" si="268">+K39/K30</f>
        <v>0.37695429848968454</v>
      </c>
      <c r="L74" s="603">
        <f t="shared" ref="L74" si="269">+L39/L30</f>
        <v>0.36115004563138903</v>
      </c>
      <c r="M74" s="780">
        <f t="shared" ref="M74:N74" si="270">+M39/M30</f>
        <v>0.38599820942812757</v>
      </c>
      <c r="N74" s="612">
        <f t="shared" si="270"/>
        <v>0.45301572375598642</v>
      </c>
    </row>
    <row r="75" spans="2:14" s="25" customFormat="1" ht="20.25" customHeight="1" x14ac:dyDescent="0.35">
      <c r="B75" s="592" t="s">
        <v>311</v>
      </c>
      <c r="C75" s="602">
        <f t="shared" ref="C75:F75" si="271">+C40/C31</f>
        <v>0.44062714754968568</v>
      </c>
      <c r="D75" s="602">
        <f t="shared" si="271"/>
        <v>0.45755633477135438</v>
      </c>
      <c r="E75" s="602">
        <f t="shared" si="271"/>
        <v>0.4894990977566176</v>
      </c>
      <c r="F75" s="606">
        <f t="shared" si="271"/>
        <v>0.54546289345522114</v>
      </c>
      <c r="G75" s="602">
        <f t="shared" ref="G75" si="272">+G40/G31</f>
        <v>0.55691433458423933</v>
      </c>
      <c r="H75" s="602">
        <f t="shared" ref="H75" si="273">+H40/H31</f>
        <v>0.56819336897542161</v>
      </c>
      <c r="I75" s="603">
        <f t="shared" ref="I75" si="274">+I40/I31</f>
        <v>0.57292697228391176</v>
      </c>
      <c r="J75" s="602">
        <f t="shared" ref="J75" si="275">+J40/J31</f>
        <v>0.61614287095704312</v>
      </c>
      <c r="K75" s="602">
        <f>+K40/K31</f>
        <v>0.60181217874520421</v>
      </c>
      <c r="L75" s="603">
        <f>+L40/L31</f>
        <v>0.58813475140659432</v>
      </c>
      <c r="M75" s="780">
        <f>+M40/M31</f>
        <v>0.61366123903278191</v>
      </c>
      <c r="N75" s="612">
        <f>+N40/N31</f>
        <v>0.64709908995150034</v>
      </c>
    </row>
    <row r="76" spans="2:14" s="25" customFormat="1" ht="20.25" customHeight="1" x14ac:dyDescent="0.35">
      <c r="B76" s="596"/>
      <c r="C76" s="597"/>
      <c r="D76" s="597"/>
      <c r="E76" s="597"/>
      <c r="F76" s="597"/>
      <c r="G76" s="597"/>
      <c r="H76" s="597"/>
      <c r="I76" s="598"/>
      <c r="J76" s="597"/>
      <c r="K76" s="597"/>
      <c r="L76" s="598"/>
      <c r="M76" s="779"/>
      <c r="N76" s="599"/>
    </row>
    <row r="77" spans="2:14" s="26" customFormat="1" ht="11.25" customHeight="1" x14ac:dyDescent="0.35">
      <c r="B77" s="607"/>
      <c r="C77" s="608"/>
      <c r="D77" s="608"/>
      <c r="E77" s="608"/>
      <c r="F77" s="608"/>
      <c r="G77" s="608"/>
      <c r="H77" s="608"/>
      <c r="I77" s="608"/>
      <c r="J77" s="608"/>
      <c r="K77" s="608"/>
      <c r="L77" s="608"/>
      <c r="M77" s="608"/>
      <c r="N77" s="608"/>
    </row>
    <row r="78" spans="2:14" s="15" customFormat="1" ht="20.25" customHeight="1" x14ac:dyDescent="0.2">
      <c r="B78" s="124" t="s">
        <v>206</v>
      </c>
      <c r="C78" s="585"/>
      <c r="D78" s="585"/>
      <c r="E78" s="585"/>
      <c r="F78" s="585"/>
      <c r="G78" s="585"/>
      <c r="H78" s="585"/>
      <c r="I78" s="585"/>
      <c r="J78" s="585"/>
      <c r="K78" s="585"/>
      <c r="L78" s="585"/>
      <c r="M78" s="585"/>
      <c r="N78" s="585"/>
    </row>
    <row r="79" spans="2:14" ht="21" customHeight="1" x14ac:dyDescent="0.2">
      <c r="B79" s="44"/>
    </row>
    <row r="80" spans="2:14" ht="21" customHeight="1" x14ac:dyDescent="0.2">
      <c r="B80" s="43"/>
    </row>
  </sheetData>
  <mergeCells count="1">
    <mergeCell ref="B5:N5"/>
  </mergeCells>
  <hyperlinks>
    <hyperlink ref="N2" location="'Cover '!A1" display="Back to Cover" xr:uid="{00000000-0004-0000-0500-000000000000}"/>
  </hyperlinks>
  <printOptions horizontalCentered="1" verticalCentered="1"/>
  <pageMargins left="0" right="0" top="0" bottom="0" header="0" footer="0"/>
  <pageSetup paperSize="8" scale="61" orientation="portrait" r:id="rId1"/>
  <headerFooter alignWithMargins="0"/>
  <ignoredErrors>
    <ignoredError sqref="D1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V56"/>
  <sheetViews>
    <sheetView showGridLines="0" view="pageBreakPreview" zoomScale="80" zoomScaleNormal="90" zoomScaleSheetLayoutView="80" workbookViewId="0">
      <selection activeCell="B9" sqref="B9"/>
    </sheetView>
  </sheetViews>
  <sheetFormatPr defaultColWidth="9.140625" defaultRowHeight="15" customHeight="1" x14ac:dyDescent="0.35"/>
  <cols>
    <col min="1" max="1" width="2.42578125" style="20" customWidth="1"/>
    <col min="2" max="2" width="46.28515625" style="20" customWidth="1"/>
    <col min="3" max="14" width="14.5703125" style="22" customWidth="1"/>
    <col min="15" max="15" width="2.42578125" style="20" customWidth="1"/>
    <col min="16" max="16" width="19.140625" style="93" customWidth="1"/>
    <col min="17" max="17" width="19.5703125" style="93" bestFit="1" customWidth="1"/>
    <col min="18" max="18" width="11.28515625" style="20" bestFit="1" customWidth="1"/>
    <col min="19" max="16384" width="9.140625" style="20"/>
  </cols>
  <sheetData>
    <row r="1" spans="1:19" s="23" customFormat="1" ht="15.75" customHeight="1" x14ac:dyDescent="0.35">
      <c r="B1" s="576"/>
      <c r="C1" s="576"/>
      <c r="D1" s="576"/>
      <c r="E1" s="576"/>
      <c r="F1" s="576"/>
      <c r="G1" s="576"/>
      <c r="H1" s="576"/>
      <c r="I1" s="576"/>
      <c r="J1" s="576"/>
      <c r="K1" s="576"/>
      <c r="L1" s="576"/>
      <c r="M1" s="576"/>
      <c r="N1" s="576"/>
      <c r="P1" s="91"/>
      <c r="Q1" s="91"/>
    </row>
    <row r="2" spans="1:19" s="23" customFormat="1" ht="15.75" customHeight="1" x14ac:dyDescent="0.35">
      <c r="B2" s="576"/>
      <c r="C2" s="601"/>
      <c r="D2" s="601"/>
      <c r="E2" s="601"/>
      <c r="F2" s="601"/>
      <c r="G2" s="601"/>
      <c r="H2" s="601"/>
      <c r="I2" s="601"/>
      <c r="J2" s="601"/>
      <c r="K2" s="601"/>
      <c r="L2" s="601"/>
      <c r="M2" s="601"/>
      <c r="N2" s="577" t="s">
        <v>20</v>
      </c>
      <c r="P2" s="91"/>
      <c r="Q2" s="91"/>
    </row>
    <row r="3" spans="1:19" s="23" customFormat="1" ht="15.75" customHeight="1" x14ac:dyDescent="0.35">
      <c r="B3" s="576"/>
      <c r="C3" s="576"/>
      <c r="D3" s="576"/>
      <c r="E3" s="576"/>
      <c r="F3" s="576"/>
      <c r="G3" s="576"/>
      <c r="H3" s="576"/>
      <c r="I3" s="576"/>
      <c r="J3" s="576"/>
      <c r="K3" s="576"/>
      <c r="L3" s="576"/>
      <c r="M3" s="576"/>
      <c r="N3" s="576"/>
      <c r="P3" s="91"/>
      <c r="Q3" s="91"/>
    </row>
    <row r="4" spans="1:19" s="24" customFormat="1" ht="15.75" customHeight="1" x14ac:dyDescent="0.35">
      <c r="B4" s="578"/>
      <c r="C4" s="578"/>
      <c r="D4" s="578"/>
      <c r="E4" s="578"/>
      <c r="F4" s="578"/>
      <c r="G4" s="578"/>
      <c r="H4" s="578"/>
      <c r="I4" s="578"/>
      <c r="J4" s="578"/>
      <c r="K4" s="578"/>
      <c r="L4" s="578"/>
      <c r="M4" s="578"/>
      <c r="N4" s="578"/>
      <c r="P4" s="92"/>
      <c r="Q4" s="92"/>
    </row>
    <row r="5" spans="1:19" ht="28.5" x14ac:dyDescent="0.35">
      <c r="A5" s="16"/>
      <c r="B5" s="937" t="s">
        <v>125</v>
      </c>
      <c r="C5" s="937"/>
      <c r="D5" s="937"/>
      <c r="E5" s="937"/>
      <c r="F5" s="937"/>
      <c r="G5" s="937"/>
      <c r="H5" s="937"/>
      <c r="I5" s="937"/>
      <c r="J5" s="937"/>
      <c r="K5" s="937"/>
      <c r="L5" s="937"/>
      <c r="M5" s="937"/>
      <c r="N5" s="937"/>
    </row>
    <row r="6" spans="1:19" ht="9" customHeight="1" x14ac:dyDescent="0.35">
      <c r="A6" s="16"/>
      <c r="B6" s="127"/>
      <c r="C6" s="127"/>
      <c r="D6" s="127"/>
      <c r="E6" s="127"/>
      <c r="F6" s="127"/>
      <c r="G6" s="127"/>
      <c r="H6" s="127"/>
      <c r="I6" s="127"/>
      <c r="J6" s="127"/>
      <c r="K6" s="127"/>
      <c r="L6" s="127"/>
      <c r="M6" s="127"/>
      <c r="N6" s="127"/>
    </row>
    <row r="7" spans="1:19" ht="11.25" customHeight="1" x14ac:dyDescent="0.35">
      <c r="A7" s="18"/>
      <c r="B7" s="533"/>
      <c r="C7" s="533"/>
      <c r="D7" s="533"/>
      <c r="E7" s="533"/>
      <c r="F7" s="533"/>
      <c r="G7" s="533"/>
      <c r="H7" s="533"/>
      <c r="I7" s="533"/>
      <c r="J7" s="533"/>
      <c r="K7" s="533"/>
      <c r="L7" s="533"/>
      <c r="M7" s="533"/>
      <c r="N7" s="533"/>
    </row>
    <row r="8" spans="1:19" s="23" customFormat="1" ht="11.25" customHeight="1" x14ac:dyDescent="0.35">
      <c r="B8" s="576"/>
      <c r="C8" s="579"/>
      <c r="D8" s="579"/>
      <c r="E8" s="579"/>
      <c r="F8" s="579"/>
      <c r="G8" s="579"/>
      <c r="H8" s="579"/>
      <c r="I8" s="579"/>
      <c r="J8" s="579"/>
      <c r="K8" s="579"/>
      <c r="L8" s="579"/>
      <c r="M8" s="579"/>
      <c r="N8" s="579"/>
      <c r="P8" s="91"/>
      <c r="Q8" s="91"/>
    </row>
    <row r="9" spans="1:19" s="23" customFormat="1" ht="22.5" customHeight="1" x14ac:dyDescent="0.35">
      <c r="B9" s="586" t="s">
        <v>106</v>
      </c>
      <c r="C9" s="587">
        <v>44651</v>
      </c>
      <c r="D9" s="587">
        <v>44742</v>
      </c>
      <c r="E9" s="587">
        <v>44834</v>
      </c>
      <c r="F9" s="587">
        <v>44926</v>
      </c>
      <c r="G9" s="587">
        <v>45016</v>
      </c>
      <c r="H9" s="587">
        <v>45107</v>
      </c>
      <c r="I9" s="587">
        <v>45199</v>
      </c>
      <c r="J9" s="587">
        <v>45291</v>
      </c>
      <c r="K9" s="587">
        <v>45382</v>
      </c>
      <c r="L9" s="587">
        <v>45473</v>
      </c>
      <c r="M9" s="600">
        <v>45565</v>
      </c>
      <c r="N9" s="588">
        <v>45657</v>
      </c>
      <c r="P9" s="91"/>
      <c r="Q9" s="91"/>
    </row>
    <row r="10" spans="1:19" s="25" customFormat="1" ht="22.5" customHeight="1" x14ac:dyDescent="0.35">
      <c r="B10" s="589" t="s">
        <v>313</v>
      </c>
      <c r="C10" s="583">
        <v>27969.930113500002</v>
      </c>
      <c r="D10" s="583">
        <v>27955.28298887</v>
      </c>
      <c r="E10" s="583">
        <v>28703.22038631</v>
      </c>
      <c r="F10" s="583">
        <v>30012.87820101</v>
      </c>
      <c r="G10" s="583">
        <v>28129.292289959998</v>
      </c>
      <c r="H10" s="583">
        <v>28654.617957729999</v>
      </c>
      <c r="I10" s="590">
        <v>28978.402439199999</v>
      </c>
      <c r="J10" s="583">
        <v>30230.87074523</v>
      </c>
      <c r="K10" s="583">
        <v>29054.406812539997</v>
      </c>
      <c r="L10" s="590">
        <v>30209.86888967</v>
      </c>
      <c r="M10" s="846">
        <v>30810.177918440004</v>
      </c>
      <c r="N10" s="591">
        <v>33276.284999199997</v>
      </c>
      <c r="P10" s="94"/>
      <c r="Q10" s="818"/>
      <c r="R10" s="79"/>
      <c r="S10" s="80"/>
    </row>
    <row r="11" spans="1:19" s="25" customFormat="1" ht="22.5" customHeight="1" x14ac:dyDescent="0.35">
      <c r="B11" s="593" t="s">
        <v>95</v>
      </c>
      <c r="C11" s="584">
        <v>21010.985513720003</v>
      </c>
      <c r="D11" s="584">
        <v>22625.14255095</v>
      </c>
      <c r="E11" s="584">
        <v>23610.51993015</v>
      </c>
      <c r="F11" s="584">
        <v>26169.175918290002</v>
      </c>
      <c r="G11" s="584">
        <v>24426.348223639998</v>
      </c>
      <c r="H11" s="584">
        <v>25064.457715209999</v>
      </c>
      <c r="I11" s="594">
        <v>25731.94263455</v>
      </c>
      <c r="J11" s="584">
        <v>27558.26636704</v>
      </c>
      <c r="K11" s="584">
        <v>26450.677390919998</v>
      </c>
      <c r="L11" s="594">
        <v>27746.137670370001</v>
      </c>
      <c r="M11" s="848">
        <v>28598.290656970003</v>
      </c>
      <c r="N11" s="595">
        <v>31226.815425860001</v>
      </c>
      <c r="P11" s="94"/>
      <c r="Q11" s="819"/>
    </row>
    <row r="12" spans="1:19" s="25" customFormat="1" ht="22.5" customHeight="1" x14ac:dyDescent="0.35">
      <c r="B12" s="593" t="s">
        <v>96</v>
      </c>
      <c r="C12" s="584">
        <v>2844.3308835600001</v>
      </c>
      <c r="D12" s="584">
        <v>2398.0107179699999</v>
      </c>
      <c r="E12" s="584">
        <v>2281.2837903099999</v>
      </c>
      <c r="F12" s="584">
        <v>1756.8015337899999</v>
      </c>
      <c r="G12" s="584">
        <v>1814.3409599000001</v>
      </c>
      <c r="H12" s="584">
        <v>1817.3229582000001</v>
      </c>
      <c r="I12" s="594">
        <v>1533.9733158299998</v>
      </c>
      <c r="J12" s="584">
        <v>1510.5449838699999</v>
      </c>
      <c r="K12" s="584">
        <v>1494.5605430399999</v>
      </c>
      <c r="L12" s="594">
        <v>1428.2427050699998</v>
      </c>
      <c r="M12" s="848">
        <v>1205.8331252799999</v>
      </c>
      <c r="N12" s="595">
        <v>1127.15963119</v>
      </c>
      <c r="P12" s="95"/>
      <c r="Q12" s="819"/>
    </row>
    <row r="13" spans="1:19" s="25" customFormat="1" ht="22.5" customHeight="1" x14ac:dyDescent="0.35">
      <c r="B13" s="610" t="s">
        <v>490</v>
      </c>
      <c r="C13" s="584">
        <v>3918.7502543799992</v>
      </c>
      <c r="D13" s="584">
        <v>2758.284627420001</v>
      </c>
      <c r="E13" s="584">
        <v>2642.6220584500002</v>
      </c>
      <c r="F13" s="584">
        <v>1912.3978517299997</v>
      </c>
      <c r="G13" s="584">
        <v>1717.2322469899993</v>
      </c>
      <c r="H13" s="584">
        <v>1603.2801201000009</v>
      </c>
      <c r="I13" s="594">
        <v>1567.7925756899999</v>
      </c>
      <c r="J13" s="584">
        <v>1011.1601057200002</v>
      </c>
      <c r="K13" s="584">
        <v>965.3601638699995</v>
      </c>
      <c r="L13" s="594">
        <v>892.60002607000104</v>
      </c>
      <c r="M13" s="848">
        <v>867.35167760999889</v>
      </c>
      <c r="N13" s="595">
        <v>790.49038842000073</v>
      </c>
      <c r="P13" s="94"/>
      <c r="Q13" s="906"/>
    </row>
    <row r="14" spans="1:19" s="25" customFormat="1" ht="22.5" customHeight="1" x14ac:dyDescent="0.35">
      <c r="B14" s="610" t="s">
        <v>489</v>
      </c>
      <c r="C14" s="584">
        <v>195.86346184000104</v>
      </c>
      <c r="D14" s="584">
        <v>173.84509252999896</v>
      </c>
      <c r="E14" s="584">
        <v>168.79460739999968</v>
      </c>
      <c r="F14" s="584">
        <v>174.50289720000046</v>
      </c>
      <c r="G14" s="584">
        <v>171.37085943000079</v>
      </c>
      <c r="H14" s="584">
        <v>169.55716421999909</v>
      </c>
      <c r="I14" s="594">
        <v>144.69391313000028</v>
      </c>
      <c r="J14" s="584">
        <v>150.89928859999998</v>
      </c>
      <c r="K14" s="584">
        <v>143.80871471000046</v>
      </c>
      <c r="L14" s="594">
        <v>142.88848815999893</v>
      </c>
      <c r="M14" s="848">
        <v>138.70245858000101</v>
      </c>
      <c r="N14" s="595">
        <v>131.81955372999926</v>
      </c>
      <c r="P14" s="94"/>
      <c r="Q14" s="818"/>
    </row>
    <row r="15" spans="1:19" s="25" customFormat="1" ht="22.5" customHeight="1" x14ac:dyDescent="0.35">
      <c r="B15" s="589" t="s">
        <v>107</v>
      </c>
      <c r="C15" s="583">
        <v>7114.7161194300006</v>
      </c>
      <c r="D15" s="583">
        <v>6984.7145553099999</v>
      </c>
      <c r="E15" s="583">
        <v>6944.8073204000002</v>
      </c>
      <c r="F15" s="583">
        <v>6879.4438452100003</v>
      </c>
      <c r="G15" s="583">
        <v>6756.4819082599997</v>
      </c>
      <c r="H15" s="583">
        <v>6518.34613446</v>
      </c>
      <c r="I15" s="590">
        <v>6475.3956019699999</v>
      </c>
      <c r="J15" s="583">
        <v>6453.7158388899998</v>
      </c>
      <c r="K15" s="583">
        <v>6424.8504618399993</v>
      </c>
      <c r="L15" s="590">
        <v>6419.8970501899994</v>
      </c>
      <c r="M15" s="846">
        <v>6420.6904380799997</v>
      </c>
      <c r="N15" s="591">
        <v>6304.4755633800005</v>
      </c>
      <c r="P15" s="94"/>
      <c r="Q15" s="905"/>
    </row>
    <row r="16" spans="1:19" s="25" customFormat="1" ht="22.5" customHeight="1" x14ac:dyDescent="0.35">
      <c r="B16" s="593" t="s">
        <v>95</v>
      </c>
      <c r="C16" s="584">
        <v>4484.1047358000005</v>
      </c>
      <c r="D16" s="584">
        <v>4424.6464673700002</v>
      </c>
      <c r="E16" s="584">
        <v>4515.0083898900002</v>
      </c>
      <c r="F16" s="584">
        <v>4551.4195924800006</v>
      </c>
      <c r="G16" s="584">
        <v>4494.7538112299999</v>
      </c>
      <c r="H16" s="584">
        <v>4455.5179153199997</v>
      </c>
      <c r="I16" s="594">
        <v>4424.7336493299999</v>
      </c>
      <c r="J16" s="584">
        <v>4431.0861395699994</v>
      </c>
      <c r="K16" s="584">
        <v>4471.78187256</v>
      </c>
      <c r="L16" s="594">
        <v>4602.3476285699999</v>
      </c>
      <c r="M16" s="848">
        <v>4555.1831887799999</v>
      </c>
      <c r="N16" s="595">
        <v>4550.3185505500005</v>
      </c>
      <c r="P16" s="94"/>
      <c r="Q16" s="819"/>
    </row>
    <row r="17" spans="2:22" s="25" customFormat="1" ht="22.5" customHeight="1" x14ac:dyDescent="0.35">
      <c r="B17" s="593" t="s">
        <v>96</v>
      </c>
      <c r="C17" s="584">
        <v>1922.78016357</v>
      </c>
      <c r="D17" s="584">
        <v>1944.7143063399999</v>
      </c>
      <c r="E17" s="584">
        <v>1798.8688525799998</v>
      </c>
      <c r="F17" s="584">
        <v>1677.2194352500001</v>
      </c>
      <c r="G17" s="584">
        <v>1600.5626412199999</v>
      </c>
      <c r="H17" s="584">
        <v>1544.21900231</v>
      </c>
      <c r="I17" s="594">
        <v>1513.8301326800001</v>
      </c>
      <c r="J17" s="584">
        <v>1514.14759596</v>
      </c>
      <c r="K17" s="584">
        <v>1436.0803217600001</v>
      </c>
      <c r="L17" s="594">
        <v>1281.60644471</v>
      </c>
      <c r="M17" s="848">
        <v>1318.4221936700001</v>
      </c>
      <c r="N17" s="595">
        <v>1305.1338567400001</v>
      </c>
      <c r="P17" s="94"/>
      <c r="Q17" s="819"/>
    </row>
    <row r="18" spans="2:22" s="25" customFormat="1" ht="22.5" customHeight="1" x14ac:dyDescent="0.35">
      <c r="B18" s="610" t="s">
        <v>490</v>
      </c>
      <c r="C18" s="584">
        <v>446.71312722000005</v>
      </c>
      <c r="D18" s="584">
        <v>352.77946392000001</v>
      </c>
      <c r="E18" s="584">
        <v>369.75514364000003</v>
      </c>
      <c r="F18" s="584">
        <v>388.69884953999997</v>
      </c>
      <c r="G18" s="584">
        <v>397.31858242999988</v>
      </c>
      <c r="H18" s="584">
        <v>256.90012403000009</v>
      </c>
      <c r="I18" s="594">
        <v>278.92382209999994</v>
      </c>
      <c r="J18" s="584">
        <v>250.86878684000004</v>
      </c>
      <c r="K18" s="584">
        <v>263.76310561000003</v>
      </c>
      <c r="L18" s="594">
        <v>287.35614193000004</v>
      </c>
      <c r="M18" s="848">
        <v>300.77074230000011</v>
      </c>
      <c r="N18" s="595">
        <v>207.13772509999976</v>
      </c>
      <c r="P18" s="94"/>
      <c r="Q18" s="818"/>
    </row>
    <row r="19" spans="2:22" s="25" customFormat="1" ht="22.5" customHeight="1" x14ac:dyDescent="0.35">
      <c r="B19" s="610" t="s">
        <v>489</v>
      </c>
      <c r="C19" s="584">
        <v>261.11809283999992</v>
      </c>
      <c r="D19" s="584">
        <v>262.57431768000004</v>
      </c>
      <c r="E19" s="584">
        <v>261.17493429000001</v>
      </c>
      <c r="F19" s="584">
        <v>262.10596794000003</v>
      </c>
      <c r="G19" s="584">
        <v>263.84687338000003</v>
      </c>
      <c r="H19" s="584">
        <v>261.70909279999995</v>
      </c>
      <c r="I19" s="594">
        <v>257.90799786000014</v>
      </c>
      <c r="J19" s="584">
        <v>257.61331651999996</v>
      </c>
      <c r="K19" s="584">
        <v>253.22516191</v>
      </c>
      <c r="L19" s="594">
        <v>248.58683497999994</v>
      </c>
      <c r="M19" s="848">
        <v>246.31431332999983</v>
      </c>
      <c r="N19" s="595">
        <v>241.88543099000029</v>
      </c>
      <c r="P19" s="94"/>
      <c r="Q19" s="818"/>
    </row>
    <row r="20" spans="2:22" s="25" customFormat="1" ht="22.5" customHeight="1" x14ac:dyDescent="0.35">
      <c r="B20" s="589" t="s">
        <v>128</v>
      </c>
      <c r="C20" s="583">
        <v>1981.47694159</v>
      </c>
      <c r="D20" s="583">
        <v>1983.9500895000001</v>
      </c>
      <c r="E20" s="583">
        <v>1986.43028542</v>
      </c>
      <c r="F20" s="583">
        <v>1895.03597225</v>
      </c>
      <c r="G20" s="583">
        <v>1875.52845314</v>
      </c>
      <c r="H20" s="583">
        <v>1751.83663368</v>
      </c>
      <c r="I20" s="590">
        <v>1781.2178743100001</v>
      </c>
      <c r="J20" s="583">
        <v>1661.0325663599999</v>
      </c>
      <c r="K20" s="583">
        <v>1668.6362920800002</v>
      </c>
      <c r="L20" s="590">
        <v>1718.3245323199999</v>
      </c>
      <c r="M20" s="846">
        <v>1754.77974571</v>
      </c>
      <c r="N20" s="591">
        <v>1794.6513429799998</v>
      </c>
      <c r="P20" s="94"/>
      <c r="Q20" s="818"/>
    </row>
    <row r="21" spans="2:22" s="25" customFormat="1" ht="22.5" customHeight="1" x14ac:dyDescent="0.35">
      <c r="B21" s="593" t="s">
        <v>95</v>
      </c>
      <c r="C21" s="584">
        <v>1153.8507397000001</v>
      </c>
      <c r="D21" s="584">
        <v>1204.8619434700001</v>
      </c>
      <c r="E21" s="584">
        <v>1263.9516938700001</v>
      </c>
      <c r="F21" s="584">
        <v>1211.5374633700001</v>
      </c>
      <c r="G21" s="584">
        <v>1207.80175927</v>
      </c>
      <c r="H21" s="584">
        <v>1243.88013501</v>
      </c>
      <c r="I21" s="594">
        <v>1276.21293466</v>
      </c>
      <c r="J21" s="584">
        <v>1225.54324655</v>
      </c>
      <c r="K21" s="584">
        <v>1206.86784354</v>
      </c>
      <c r="L21" s="594">
        <v>1265.06172436</v>
      </c>
      <c r="M21" s="848">
        <v>1328.75462922</v>
      </c>
      <c r="N21" s="595">
        <v>1388.56498278</v>
      </c>
      <c r="P21" s="94"/>
      <c r="Q21" s="819"/>
    </row>
    <row r="22" spans="2:22" s="25" customFormat="1" ht="22.5" customHeight="1" x14ac:dyDescent="0.35">
      <c r="B22" s="593" t="s">
        <v>96</v>
      </c>
      <c r="C22" s="584">
        <v>461.70227822999999</v>
      </c>
      <c r="D22" s="584">
        <v>456.22418359</v>
      </c>
      <c r="E22" s="584">
        <v>397.68186606999996</v>
      </c>
      <c r="F22" s="584">
        <v>362.67253324000001</v>
      </c>
      <c r="G22" s="584">
        <v>344.71123091999999</v>
      </c>
      <c r="H22" s="584">
        <v>325.81061890000001</v>
      </c>
      <c r="I22" s="594">
        <v>314.12507239000001</v>
      </c>
      <c r="J22" s="584">
        <v>320.8381468</v>
      </c>
      <c r="K22" s="584">
        <v>342.59777213000001</v>
      </c>
      <c r="L22" s="594">
        <v>325.89311838000003</v>
      </c>
      <c r="M22" s="848">
        <v>290.03334403000002</v>
      </c>
      <c r="N22" s="595">
        <v>294.60858523000002</v>
      </c>
      <c r="P22" s="94"/>
      <c r="Q22" s="819"/>
    </row>
    <row r="23" spans="2:22" s="25" customFormat="1" ht="22.5" customHeight="1" x14ac:dyDescent="0.35">
      <c r="B23" s="610" t="s">
        <v>490</v>
      </c>
      <c r="C23" s="584">
        <v>300.84586535999995</v>
      </c>
      <c r="D23" s="584">
        <v>258.8461567199999</v>
      </c>
      <c r="E23" s="584">
        <v>262.70398369999992</v>
      </c>
      <c r="F23" s="584">
        <v>266.72455822000006</v>
      </c>
      <c r="G23" s="584">
        <v>270.15212166999987</v>
      </c>
      <c r="H23" s="584">
        <v>131.17672092999976</v>
      </c>
      <c r="I23" s="594">
        <v>141.38426670999996</v>
      </c>
      <c r="J23" s="584">
        <v>67.058541560000108</v>
      </c>
      <c r="K23" s="584">
        <v>73.282378920000014</v>
      </c>
      <c r="L23" s="594">
        <v>83.310257430000007</v>
      </c>
      <c r="M23" s="848">
        <v>93.471616549999965</v>
      </c>
      <c r="N23" s="595">
        <v>70.115875700000004</v>
      </c>
      <c r="P23" s="94"/>
      <c r="Q23" s="818"/>
    </row>
    <row r="24" spans="2:22" s="25" customFormat="1" ht="22.5" customHeight="1" x14ac:dyDescent="0.35">
      <c r="B24" s="610" t="s">
        <v>489</v>
      </c>
      <c r="C24" s="584">
        <v>65.078058300000066</v>
      </c>
      <c r="D24" s="584">
        <v>64.017805720000069</v>
      </c>
      <c r="E24" s="584">
        <v>62.092741780000097</v>
      </c>
      <c r="F24" s="584">
        <v>54.101417419999962</v>
      </c>
      <c r="G24" s="584">
        <v>52.863341280000157</v>
      </c>
      <c r="H24" s="584">
        <v>50.969158840000262</v>
      </c>
      <c r="I24" s="594">
        <v>49.495600550000034</v>
      </c>
      <c r="J24" s="584">
        <v>47.592631449999885</v>
      </c>
      <c r="K24" s="584">
        <v>45.888297489999985</v>
      </c>
      <c r="L24" s="594">
        <v>44.059432149999992</v>
      </c>
      <c r="M24" s="848">
        <v>42.520155910000028</v>
      </c>
      <c r="N24" s="595">
        <v>41.361899269999981</v>
      </c>
      <c r="P24" s="94"/>
      <c r="Q24" s="903"/>
    </row>
    <row r="25" spans="2:22" s="25" customFormat="1" ht="22.5" customHeight="1" x14ac:dyDescent="0.35">
      <c r="B25" s="589" t="s">
        <v>108</v>
      </c>
      <c r="C25" s="583">
        <v>37066.123174519998</v>
      </c>
      <c r="D25" s="583">
        <v>36923.947633669995</v>
      </c>
      <c r="E25" s="583">
        <v>37634.45799214</v>
      </c>
      <c r="F25" s="583">
        <v>38787.358018450002</v>
      </c>
      <c r="G25" s="583">
        <v>36761.302651340004</v>
      </c>
      <c r="H25" s="583">
        <v>36924.800725870002</v>
      </c>
      <c r="I25" s="590">
        <v>37235.0159155</v>
      </c>
      <c r="J25" s="583">
        <v>38345.619150489998</v>
      </c>
      <c r="K25" s="583">
        <v>37147.893566459999</v>
      </c>
      <c r="L25" s="590">
        <v>38348.090472169999</v>
      </c>
      <c r="M25" s="846">
        <v>38985.648102250001</v>
      </c>
      <c r="N25" s="591">
        <v>41375.411905560002</v>
      </c>
      <c r="P25" s="761"/>
      <c r="Q25" s="761"/>
      <c r="R25" s="54"/>
      <c r="T25" s="81"/>
      <c r="V25" s="54"/>
    </row>
    <row r="26" spans="2:22" s="25" customFormat="1" ht="22.5" customHeight="1" x14ac:dyDescent="0.35">
      <c r="B26" s="593" t="s">
        <v>95</v>
      </c>
      <c r="C26" s="584">
        <v>26648.940989220002</v>
      </c>
      <c r="D26" s="584">
        <v>28254.650961790001</v>
      </c>
      <c r="E26" s="584">
        <v>29389.480013910001</v>
      </c>
      <c r="F26" s="584">
        <v>31932.13297413</v>
      </c>
      <c r="G26" s="584">
        <v>30128.903794139998</v>
      </c>
      <c r="H26" s="584">
        <v>30763.85576554</v>
      </c>
      <c r="I26" s="594">
        <v>31432.889218550001</v>
      </c>
      <c r="J26" s="584">
        <v>33214.895753149998</v>
      </c>
      <c r="K26" s="584">
        <v>32129.327107009998</v>
      </c>
      <c r="L26" s="594">
        <v>33613.547023300001</v>
      </c>
      <c r="M26" s="848">
        <v>34482.228474980002</v>
      </c>
      <c r="N26" s="595">
        <v>37165.698959190006</v>
      </c>
      <c r="P26" s="761"/>
      <c r="Q26" s="761"/>
      <c r="R26" s="54"/>
      <c r="T26" s="81"/>
      <c r="V26" s="54"/>
    </row>
    <row r="27" spans="2:22" s="25" customFormat="1" ht="22.5" customHeight="1" x14ac:dyDescent="0.35">
      <c r="B27" s="593" t="s">
        <v>96</v>
      </c>
      <c r="C27" s="584">
        <v>5228.8133253599999</v>
      </c>
      <c r="D27" s="584">
        <v>4798.9492078900003</v>
      </c>
      <c r="E27" s="584">
        <v>4477.8345089599998</v>
      </c>
      <c r="F27" s="584">
        <v>3796.6935022800003</v>
      </c>
      <c r="G27" s="584">
        <v>3759.6148320300003</v>
      </c>
      <c r="H27" s="584">
        <v>3687.35257942</v>
      </c>
      <c r="I27" s="594">
        <v>3361.9285209099999</v>
      </c>
      <c r="J27" s="584">
        <v>3345.53072664</v>
      </c>
      <c r="K27" s="584">
        <v>3273.2386369400001</v>
      </c>
      <c r="L27" s="594">
        <v>3035.7422681599996</v>
      </c>
      <c r="M27" s="848">
        <v>2814.2886629899999</v>
      </c>
      <c r="N27" s="595">
        <v>2726.90207315</v>
      </c>
      <c r="O27" s="50"/>
      <c r="P27" s="94"/>
      <c r="Q27" s="904"/>
      <c r="R27" s="81"/>
      <c r="T27" s="81"/>
      <c r="V27" s="54"/>
    </row>
    <row r="28" spans="2:22" s="25" customFormat="1" ht="22.5" customHeight="1" x14ac:dyDescent="0.35">
      <c r="B28" s="610" t="s">
        <v>490</v>
      </c>
      <c r="C28" s="584">
        <v>4666.3092469599997</v>
      </c>
      <c r="D28" s="584">
        <v>3369.9102480600009</v>
      </c>
      <c r="E28" s="584">
        <v>3275.0811857899998</v>
      </c>
      <c r="F28" s="584">
        <v>2567.8212594899996</v>
      </c>
      <c r="G28" s="584">
        <v>2384.7029510899988</v>
      </c>
      <c r="H28" s="584">
        <v>1991.3569650600007</v>
      </c>
      <c r="I28" s="594">
        <v>1988.1006645</v>
      </c>
      <c r="J28" s="584">
        <v>1329.0874341200004</v>
      </c>
      <c r="K28" s="584">
        <v>1302.4056483999996</v>
      </c>
      <c r="L28" s="594">
        <v>1263.2664254300012</v>
      </c>
      <c r="M28" s="848">
        <v>1261.594036459999</v>
      </c>
      <c r="N28" s="595">
        <v>1067.7439892200005</v>
      </c>
      <c r="O28" s="50"/>
      <c r="P28" s="594"/>
      <c r="Q28" s="594"/>
      <c r="R28" s="81"/>
      <c r="S28" s="759"/>
      <c r="T28" s="81"/>
      <c r="V28" s="54"/>
    </row>
    <row r="29" spans="2:22" s="25" customFormat="1" ht="22.5" customHeight="1" x14ac:dyDescent="0.35">
      <c r="B29" s="622" t="s">
        <v>489</v>
      </c>
      <c r="C29" s="623">
        <v>522.05961297999966</v>
      </c>
      <c r="D29" s="623">
        <v>500.43721592999918</v>
      </c>
      <c r="E29" s="623">
        <v>492.06228348000059</v>
      </c>
      <c r="F29" s="623">
        <v>490.7102825500001</v>
      </c>
      <c r="G29" s="623">
        <v>488.08107408000114</v>
      </c>
      <c r="H29" s="623">
        <v>482.2354158499993</v>
      </c>
      <c r="I29" s="624">
        <v>452.09751153999991</v>
      </c>
      <c r="J29" s="623">
        <v>456.10523657999966</v>
      </c>
      <c r="K29" s="623">
        <v>442.92217411000024</v>
      </c>
      <c r="L29" s="624">
        <v>435.53475527999876</v>
      </c>
      <c r="M29" s="849">
        <v>427.53692782000121</v>
      </c>
      <c r="N29" s="625">
        <v>415.06688399999962</v>
      </c>
      <c r="P29" s="94"/>
      <c r="Q29" s="903"/>
      <c r="R29" s="81"/>
      <c r="T29" s="81"/>
      <c r="V29" s="54"/>
    </row>
    <row r="30" spans="2:22" s="26" customFormat="1" ht="8.25" customHeight="1" x14ac:dyDescent="0.35">
      <c r="B30" s="607"/>
      <c r="C30" s="608"/>
      <c r="D30" s="608"/>
      <c r="E30" s="608"/>
      <c r="F30" s="608"/>
      <c r="G30" s="617"/>
      <c r="H30" s="617"/>
      <c r="I30" s="617"/>
      <c r="J30" s="617"/>
      <c r="K30" s="617"/>
      <c r="L30" s="617"/>
      <c r="M30" s="617"/>
      <c r="N30" s="608"/>
      <c r="P30" s="92"/>
      <c r="Q30" s="92"/>
    </row>
    <row r="31" spans="2:22" s="19" customFormat="1" ht="22.5" customHeight="1" x14ac:dyDescent="0.2">
      <c r="B31" s="586" t="s">
        <v>109</v>
      </c>
      <c r="C31" s="587">
        <v>44651</v>
      </c>
      <c r="D31" s="587">
        <v>44742</v>
      </c>
      <c r="E31" s="587">
        <v>44834</v>
      </c>
      <c r="F31" s="587">
        <v>44926</v>
      </c>
      <c r="G31" s="587">
        <v>45016</v>
      </c>
      <c r="H31" s="587">
        <v>45107</v>
      </c>
      <c r="I31" s="587">
        <v>45199</v>
      </c>
      <c r="J31" s="587">
        <v>45291</v>
      </c>
      <c r="K31" s="587">
        <v>45382</v>
      </c>
      <c r="L31" s="587">
        <v>45473</v>
      </c>
      <c r="M31" s="600">
        <v>45565</v>
      </c>
      <c r="N31" s="588">
        <v>45657</v>
      </c>
      <c r="P31" s="96"/>
      <c r="Q31" s="96"/>
    </row>
    <row r="32" spans="2:22" ht="22.5" customHeight="1" x14ac:dyDescent="0.35">
      <c r="B32" s="589" t="s">
        <v>313</v>
      </c>
      <c r="C32" s="583">
        <v>1748.9294942445633</v>
      </c>
      <c r="D32" s="583">
        <v>1261.36305197</v>
      </c>
      <c r="E32" s="583">
        <v>1326.5617363539479</v>
      </c>
      <c r="F32" s="583">
        <v>1121.0317535351926</v>
      </c>
      <c r="G32" s="583">
        <v>1049.1559046612622</v>
      </c>
      <c r="H32" s="583">
        <v>989.02409750153788</v>
      </c>
      <c r="I32" s="590">
        <v>986.92921446999992</v>
      </c>
      <c r="J32" s="583">
        <v>697.33245598714404</v>
      </c>
      <c r="K32" s="583">
        <v>656.76279616117142</v>
      </c>
      <c r="L32" s="590">
        <v>608.97681281408836</v>
      </c>
      <c r="M32" s="846">
        <v>621.88808340111132</v>
      </c>
      <c r="N32" s="591">
        <v>565.20967125000004</v>
      </c>
      <c r="P32" s="98"/>
      <c r="Q32" s="98"/>
      <c r="R32" s="82"/>
    </row>
    <row r="33" spans="2:17" ht="22.5" customHeight="1" x14ac:dyDescent="0.35">
      <c r="B33" s="593" t="s">
        <v>95</v>
      </c>
      <c r="C33" s="584">
        <v>55.50539796999999</v>
      </c>
      <c r="D33" s="584">
        <v>59.963582639999998</v>
      </c>
      <c r="E33" s="584">
        <v>46.647629892158101</v>
      </c>
      <c r="F33" s="584">
        <v>26.428999424572819</v>
      </c>
      <c r="G33" s="584">
        <v>32.978039007195953</v>
      </c>
      <c r="H33" s="584">
        <v>37.926002154881957</v>
      </c>
      <c r="I33" s="594">
        <v>41.861538460000006</v>
      </c>
      <c r="J33" s="584">
        <v>35.630178822077404</v>
      </c>
      <c r="K33" s="584">
        <v>36.540559500023313</v>
      </c>
      <c r="L33" s="594">
        <v>36.273413500163279</v>
      </c>
      <c r="M33" s="848">
        <v>33.501330781585338</v>
      </c>
      <c r="N33" s="595">
        <v>37.031325369999998</v>
      </c>
      <c r="P33" s="97"/>
      <c r="Q33" s="98"/>
    </row>
    <row r="34" spans="2:17" ht="22.5" customHeight="1" x14ac:dyDescent="0.35">
      <c r="B34" s="593" t="s">
        <v>96</v>
      </c>
      <c r="C34" s="584">
        <v>111.85301052999999</v>
      </c>
      <c r="D34" s="584">
        <v>94.638159909999985</v>
      </c>
      <c r="E34" s="584">
        <v>90.333742017965704</v>
      </c>
      <c r="F34" s="584">
        <v>67.515062731128339</v>
      </c>
      <c r="G34" s="584">
        <v>75.736577099789329</v>
      </c>
      <c r="H34" s="584">
        <v>71.298873762228112</v>
      </c>
      <c r="I34" s="594">
        <v>60.825876800000003</v>
      </c>
      <c r="J34" s="584">
        <v>61.292396564367159</v>
      </c>
      <c r="K34" s="584">
        <v>58.99289500780845</v>
      </c>
      <c r="L34" s="594">
        <v>58.760437376691975</v>
      </c>
      <c r="M34" s="848">
        <v>52.029095269303888</v>
      </c>
      <c r="N34" s="595">
        <v>40.13089548</v>
      </c>
      <c r="P34" s="97"/>
      <c r="Q34" s="98"/>
    </row>
    <row r="35" spans="2:17" ht="22.5" customHeight="1" x14ac:dyDescent="0.35">
      <c r="B35" s="610" t="s">
        <v>490</v>
      </c>
      <c r="C35" s="584">
        <v>1576.4830718000001</v>
      </c>
      <c r="D35" s="584">
        <v>1099.2986797899998</v>
      </c>
      <c r="E35" s="584">
        <v>1185.3294059400005</v>
      </c>
      <c r="F35" s="584">
        <v>1023.1882950000002</v>
      </c>
      <c r="G35" s="584">
        <v>935.93021167999973</v>
      </c>
      <c r="H35" s="584">
        <v>876.38278997000009</v>
      </c>
      <c r="I35" s="594">
        <v>881.33502361000012</v>
      </c>
      <c r="J35" s="584">
        <v>596.69077658000003</v>
      </c>
      <c r="K35" s="584">
        <v>557.49816675</v>
      </c>
      <c r="L35" s="594">
        <v>510.0093169000001</v>
      </c>
      <c r="M35" s="848">
        <v>532.84122085999979</v>
      </c>
      <c r="N35" s="595">
        <v>484.80294848999978</v>
      </c>
      <c r="P35" s="97"/>
      <c r="Q35" s="98"/>
    </row>
    <row r="36" spans="2:17" ht="22.5" customHeight="1" x14ac:dyDescent="0.35">
      <c r="B36" s="610" t="s">
        <v>489</v>
      </c>
      <c r="C36" s="584">
        <v>5.0880139445632722</v>
      </c>
      <c r="D36" s="584">
        <v>7.4626296300000377</v>
      </c>
      <c r="E36" s="584">
        <v>4.2509585038237674</v>
      </c>
      <c r="F36" s="584">
        <v>3.8993963794912361</v>
      </c>
      <c r="G36" s="584">
        <v>4.511076874277137</v>
      </c>
      <c r="H36" s="584">
        <v>3.4164316144277791</v>
      </c>
      <c r="I36" s="594">
        <v>2.9067755999998326</v>
      </c>
      <c r="J36" s="584">
        <v>3.719104020699433</v>
      </c>
      <c r="K36" s="584">
        <v>3.7311749033397064</v>
      </c>
      <c r="L36" s="594">
        <v>3.9336450372330205</v>
      </c>
      <c r="M36" s="848">
        <v>3.5164364902223042</v>
      </c>
      <c r="N36" s="595">
        <v>3.2445019100002241</v>
      </c>
      <c r="P36" s="97"/>
      <c r="Q36" s="98"/>
    </row>
    <row r="37" spans="2:17" ht="22.5" customHeight="1" x14ac:dyDescent="0.35">
      <c r="B37" s="589" t="s">
        <v>107</v>
      </c>
      <c r="C37" s="583">
        <v>81.753611190000001</v>
      </c>
      <c r="D37" s="583">
        <v>80.594922580000002</v>
      </c>
      <c r="E37" s="583">
        <v>83.608787648293173</v>
      </c>
      <c r="F37" s="583">
        <v>86.436325317913642</v>
      </c>
      <c r="G37" s="583">
        <v>89.259121999929746</v>
      </c>
      <c r="H37" s="583">
        <v>47.792738938082778</v>
      </c>
      <c r="I37" s="590">
        <v>50.083827849999999</v>
      </c>
      <c r="J37" s="583">
        <v>42.180639079449975</v>
      </c>
      <c r="K37" s="583">
        <v>43.512418448261407</v>
      </c>
      <c r="L37" s="590">
        <v>45.713071716575044</v>
      </c>
      <c r="M37" s="846">
        <v>55.936792924692583</v>
      </c>
      <c r="N37" s="591">
        <v>42.512353660000002</v>
      </c>
      <c r="P37" s="98"/>
      <c r="Q37" s="98"/>
    </row>
    <row r="38" spans="2:17" ht="22.5" customHeight="1" x14ac:dyDescent="0.35">
      <c r="B38" s="593" t="s">
        <v>95</v>
      </c>
      <c r="C38" s="584">
        <v>3.3515153999999998</v>
      </c>
      <c r="D38" s="584">
        <v>3.2918337799999997</v>
      </c>
      <c r="E38" s="584">
        <v>3.0982646517775025</v>
      </c>
      <c r="F38" s="584">
        <v>3.1933077622797184</v>
      </c>
      <c r="G38" s="584">
        <v>3.1882162810238359</v>
      </c>
      <c r="H38" s="584">
        <v>2.9999968909247956</v>
      </c>
      <c r="I38" s="594">
        <v>3.1731554500000003</v>
      </c>
      <c r="J38" s="584">
        <v>3.3848934419116845</v>
      </c>
      <c r="K38" s="584">
        <v>3.7714287799899191</v>
      </c>
      <c r="L38" s="594">
        <v>3.9362500060422776</v>
      </c>
      <c r="M38" s="848">
        <v>5.2495501090331018</v>
      </c>
      <c r="N38" s="595">
        <v>5.2865793499999993</v>
      </c>
      <c r="P38" s="97"/>
      <c r="Q38" s="98"/>
    </row>
    <row r="39" spans="2:17" ht="22.5" customHeight="1" x14ac:dyDescent="0.35">
      <c r="B39" s="593" t="s">
        <v>96</v>
      </c>
      <c r="C39" s="584">
        <v>27.606303</v>
      </c>
      <c r="D39" s="584">
        <v>27.461718699999999</v>
      </c>
      <c r="E39" s="584">
        <v>26.377210990006738</v>
      </c>
      <c r="F39" s="584">
        <v>19.887840894559123</v>
      </c>
      <c r="G39" s="584">
        <v>20.47533581058352</v>
      </c>
      <c r="H39" s="584">
        <v>15.575400612422969</v>
      </c>
      <c r="I39" s="594">
        <v>15.2937306</v>
      </c>
      <c r="J39" s="584">
        <v>15.327434954268588</v>
      </c>
      <c r="K39" s="584">
        <v>14.37039238424088</v>
      </c>
      <c r="L39" s="594">
        <v>12.8732856076735</v>
      </c>
      <c r="M39" s="848">
        <v>12.65448557465476</v>
      </c>
      <c r="N39" s="595">
        <v>11.10734849</v>
      </c>
      <c r="P39" s="97"/>
      <c r="Q39" s="98"/>
    </row>
    <row r="40" spans="2:17" ht="22.5" customHeight="1" x14ac:dyDescent="0.35">
      <c r="B40" s="610" t="s">
        <v>490</v>
      </c>
      <c r="C40" s="584">
        <v>46.190928960000008</v>
      </c>
      <c r="D40" s="584">
        <v>45.572683910000009</v>
      </c>
      <c r="E40" s="584">
        <v>49.960837139999988</v>
      </c>
      <c r="F40" s="584">
        <v>60.936756679999974</v>
      </c>
      <c r="G40" s="584">
        <v>63.124150859999993</v>
      </c>
      <c r="H40" s="584">
        <v>27.246468229999998</v>
      </c>
      <c r="I40" s="594">
        <v>29.402010930000003</v>
      </c>
      <c r="J40" s="584">
        <v>21.274813609999999</v>
      </c>
      <c r="K40" s="584">
        <v>23.039533780000003</v>
      </c>
      <c r="L40" s="594">
        <v>26.8675119</v>
      </c>
      <c r="M40" s="848">
        <v>35.853327979999996</v>
      </c>
      <c r="N40" s="595">
        <v>24.172251589999998</v>
      </c>
      <c r="P40" s="97"/>
      <c r="Q40" s="98"/>
    </row>
    <row r="41" spans="2:17" ht="22.5" customHeight="1" x14ac:dyDescent="0.35">
      <c r="B41" s="610" t="s">
        <v>489</v>
      </c>
      <c r="C41" s="584">
        <v>4.6048638299999922</v>
      </c>
      <c r="D41" s="584">
        <v>4.2686861899999897</v>
      </c>
      <c r="E41" s="584">
        <v>4.1724748665089493</v>
      </c>
      <c r="F41" s="584">
        <v>2.4184199810748197</v>
      </c>
      <c r="G41" s="584">
        <v>2.4714190483224101</v>
      </c>
      <c r="H41" s="584">
        <v>1.9708732047350139</v>
      </c>
      <c r="I41" s="594">
        <v>2.2149308699999963</v>
      </c>
      <c r="J41" s="584">
        <v>2.1934970732697039</v>
      </c>
      <c r="K41" s="584">
        <v>2.331063504030606</v>
      </c>
      <c r="L41" s="594">
        <v>2.036024202859263</v>
      </c>
      <c r="M41" s="848">
        <v>2.1794292610047279</v>
      </c>
      <c r="N41" s="595">
        <v>1.9461742300000004</v>
      </c>
      <c r="P41" s="98"/>
      <c r="Q41" s="98"/>
    </row>
    <row r="42" spans="2:17" ht="22.5" customHeight="1" x14ac:dyDescent="0.35">
      <c r="B42" s="589" t="s">
        <v>128</v>
      </c>
      <c r="C42" s="583">
        <v>236.25888629000002</v>
      </c>
      <c r="D42" s="583">
        <v>212.90668455000002</v>
      </c>
      <c r="E42" s="583">
        <v>208.90147600533913</v>
      </c>
      <c r="F42" s="583">
        <v>213.38569344117175</v>
      </c>
      <c r="G42" s="583">
        <v>210.50448348320947</v>
      </c>
      <c r="H42" s="583">
        <v>116.178884367477</v>
      </c>
      <c r="I42" s="590">
        <v>123.69489335999998</v>
      </c>
      <c r="J42" s="583">
        <v>79.444530467009145</v>
      </c>
      <c r="K42" s="583">
        <v>83.5766080267787</v>
      </c>
      <c r="L42" s="590">
        <v>88.190032027026561</v>
      </c>
      <c r="M42" s="846">
        <v>96.279492336131071</v>
      </c>
      <c r="N42" s="591">
        <v>83.134338659999997</v>
      </c>
      <c r="P42" s="98"/>
      <c r="Q42" s="98"/>
    </row>
    <row r="43" spans="2:17" ht="22.5" customHeight="1" x14ac:dyDescent="0.35">
      <c r="B43" s="593" t="s">
        <v>95</v>
      </c>
      <c r="C43" s="584">
        <v>16.730989269999998</v>
      </c>
      <c r="D43" s="584">
        <v>16.24501304</v>
      </c>
      <c r="E43" s="584">
        <v>14.905124677083016</v>
      </c>
      <c r="F43" s="584">
        <v>7.6207376926020434</v>
      </c>
      <c r="G43" s="584">
        <v>6.0629285036833211</v>
      </c>
      <c r="H43" s="584">
        <v>6.3834839179913612</v>
      </c>
      <c r="I43" s="594">
        <v>7.5737296300000008</v>
      </c>
      <c r="J43" s="584">
        <v>8.9273963700051659</v>
      </c>
      <c r="K43" s="584">
        <v>8.7372009789565848</v>
      </c>
      <c r="L43" s="594">
        <v>9.0213832938005059</v>
      </c>
      <c r="M43" s="848">
        <v>8.6260988341030025</v>
      </c>
      <c r="N43" s="595">
        <v>9.5711714199999989</v>
      </c>
      <c r="P43" s="97"/>
      <c r="Q43" s="98"/>
    </row>
    <row r="44" spans="2:17" ht="22.5" customHeight="1" x14ac:dyDescent="0.35">
      <c r="B44" s="593" t="s">
        <v>96</v>
      </c>
      <c r="C44" s="584">
        <v>41.391065640000008</v>
      </c>
      <c r="D44" s="584">
        <v>39.319416799999999</v>
      </c>
      <c r="E44" s="584">
        <v>31.916990784448874</v>
      </c>
      <c r="F44" s="584">
        <v>32.675739088911136</v>
      </c>
      <c r="G44" s="584">
        <v>30.137915338594468</v>
      </c>
      <c r="H44" s="584">
        <v>26.123862967260816</v>
      </c>
      <c r="I44" s="594">
        <v>25.733593479999996</v>
      </c>
      <c r="J44" s="584">
        <v>28.911986608826044</v>
      </c>
      <c r="K44" s="584">
        <v>31.167146103113495</v>
      </c>
      <c r="L44" s="594">
        <v>29.773923200987173</v>
      </c>
      <c r="M44" s="848">
        <v>29.98218192274879</v>
      </c>
      <c r="N44" s="595">
        <v>27.2077338</v>
      </c>
      <c r="P44" s="97"/>
      <c r="Q44" s="98"/>
    </row>
    <row r="45" spans="2:17" ht="22.5" customHeight="1" x14ac:dyDescent="0.35">
      <c r="B45" s="610" t="s">
        <v>490</v>
      </c>
      <c r="C45" s="584">
        <v>165.76948987000014</v>
      </c>
      <c r="D45" s="584">
        <v>147.00009698000002</v>
      </c>
      <c r="E45" s="584">
        <v>151.4174695400001</v>
      </c>
      <c r="F45" s="584">
        <v>167.80333752999996</v>
      </c>
      <c r="G45" s="584">
        <v>169.54797115000005</v>
      </c>
      <c r="H45" s="584">
        <v>79.397171010000065</v>
      </c>
      <c r="I45" s="594">
        <v>86.15487466999997</v>
      </c>
      <c r="J45" s="584">
        <v>37.284982490000019</v>
      </c>
      <c r="K45" s="584">
        <v>39.813407809999994</v>
      </c>
      <c r="L45" s="594">
        <v>45.805387109999991</v>
      </c>
      <c r="M45" s="848">
        <v>54.200532409999987</v>
      </c>
      <c r="N45" s="595">
        <v>43.193149389999981</v>
      </c>
      <c r="P45" s="97"/>
      <c r="Q45" s="98"/>
    </row>
    <row r="46" spans="2:17" ht="22.5" customHeight="1" x14ac:dyDescent="0.35">
      <c r="B46" s="610" t="s">
        <v>489</v>
      </c>
      <c r="C46" s="584">
        <v>12.367341509999846</v>
      </c>
      <c r="D46" s="584">
        <v>10.342157729999997</v>
      </c>
      <c r="E46" s="584">
        <v>10.661891003807142</v>
      </c>
      <c r="F46" s="584">
        <v>5.2858791296585821</v>
      </c>
      <c r="G46" s="584">
        <v>4.7556684909316402</v>
      </c>
      <c r="H46" s="584">
        <v>4.2743664722247559</v>
      </c>
      <c r="I46" s="594">
        <v>4.2326955800000263</v>
      </c>
      <c r="J46" s="584">
        <v>4.3201649981779227</v>
      </c>
      <c r="K46" s="584">
        <v>3.8588531347086246</v>
      </c>
      <c r="L46" s="594">
        <v>3.589338422238896</v>
      </c>
      <c r="M46" s="848">
        <v>3.4706791692793004</v>
      </c>
      <c r="N46" s="595">
        <v>3.162284050000018</v>
      </c>
      <c r="P46" s="97"/>
      <c r="Q46" s="98"/>
    </row>
    <row r="47" spans="2:17" ht="22.5" customHeight="1" x14ac:dyDescent="0.35">
      <c r="B47" s="589" t="s">
        <v>108</v>
      </c>
      <c r="C47" s="583">
        <v>2066.9419917245636</v>
      </c>
      <c r="D47" s="583">
        <v>1554.8646591000002</v>
      </c>
      <c r="E47" s="583">
        <v>1619.0719999975802</v>
      </c>
      <c r="F47" s="583">
        <v>1420.853772304278</v>
      </c>
      <c r="G47" s="583">
        <v>1348.9195101444013</v>
      </c>
      <c r="H47" s="583">
        <v>1152.9957208270978</v>
      </c>
      <c r="I47" s="590">
        <v>1160.7079356999998</v>
      </c>
      <c r="J47" s="583">
        <v>818.95762552360304</v>
      </c>
      <c r="K47" s="583">
        <v>783.85182262621163</v>
      </c>
      <c r="L47" s="590">
        <v>742.87991656769009</v>
      </c>
      <c r="M47" s="846">
        <v>774.10436867193494</v>
      </c>
      <c r="N47" s="591">
        <v>690.85636356999998</v>
      </c>
      <c r="P47" s="98"/>
      <c r="Q47" s="98"/>
    </row>
    <row r="48" spans="2:17" ht="22.5" customHeight="1" x14ac:dyDescent="0.35">
      <c r="B48" s="593" t="s">
        <v>95</v>
      </c>
      <c r="C48" s="584">
        <v>75.587902639999982</v>
      </c>
      <c r="D48" s="584">
        <v>79.500429459999992</v>
      </c>
      <c r="E48" s="584">
        <v>64.651019211018593</v>
      </c>
      <c r="F48" s="584">
        <v>37.24304488945458</v>
      </c>
      <c r="G48" s="584">
        <v>42.229183781903117</v>
      </c>
      <c r="H48" s="584">
        <v>47.309482973798119</v>
      </c>
      <c r="I48" s="594">
        <v>52.608423540000004</v>
      </c>
      <c r="J48" s="584">
        <v>47.942468633994253</v>
      </c>
      <c r="K48" s="584">
        <v>49.049189248969803</v>
      </c>
      <c r="L48" s="594">
        <v>49.231046800006077</v>
      </c>
      <c r="M48" s="848">
        <v>47.376979724721444</v>
      </c>
      <c r="N48" s="595">
        <v>51.889076129999999</v>
      </c>
      <c r="P48" s="97"/>
      <c r="Q48" s="914"/>
    </row>
    <row r="49" spans="2:17" ht="22.5" customHeight="1" x14ac:dyDescent="0.35">
      <c r="B49" s="593" t="s">
        <v>96</v>
      </c>
      <c r="C49" s="584">
        <v>180.85037918</v>
      </c>
      <c r="D49" s="584">
        <v>161.41929540999999</v>
      </c>
      <c r="E49" s="584">
        <v>148.6279438024213</v>
      </c>
      <c r="F49" s="584">
        <v>120.0786427145986</v>
      </c>
      <c r="G49" s="584">
        <v>126.34982824896734</v>
      </c>
      <c r="H49" s="584">
        <v>112.99813735191189</v>
      </c>
      <c r="I49" s="594">
        <v>101.85320089</v>
      </c>
      <c r="J49" s="584">
        <v>105.53181812746178</v>
      </c>
      <c r="K49" s="584">
        <v>104.53043349516282</v>
      </c>
      <c r="L49" s="594">
        <v>101.40764619535264</v>
      </c>
      <c r="M49" s="848">
        <v>94.665762776707453</v>
      </c>
      <c r="N49" s="595">
        <v>78.445977769999999</v>
      </c>
      <c r="P49" s="97"/>
      <c r="Q49" s="914"/>
    </row>
    <row r="50" spans="2:17" ht="22.5" customHeight="1" x14ac:dyDescent="0.35">
      <c r="B50" s="610" t="s">
        <v>490</v>
      </c>
      <c r="C50" s="584">
        <v>1788.44349063</v>
      </c>
      <c r="D50" s="584">
        <v>1291.8714606799995</v>
      </c>
      <c r="E50" s="584">
        <v>1386.7077126200006</v>
      </c>
      <c r="F50" s="584">
        <v>1251.92838921</v>
      </c>
      <c r="G50" s="584">
        <v>1168.6023336899998</v>
      </c>
      <c r="H50" s="584">
        <v>983.02642921000006</v>
      </c>
      <c r="I50" s="594">
        <v>996.89190921000011</v>
      </c>
      <c r="J50" s="584">
        <v>655.25057268</v>
      </c>
      <c r="K50" s="584">
        <v>620.35110834</v>
      </c>
      <c r="L50" s="594">
        <v>582.6822159100002</v>
      </c>
      <c r="M50" s="848">
        <v>622.89508124999975</v>
      </c>
      <c r="N50" s="595">
        <v>552.16834946999984</v>
      </c>
      <c r="P50" s="97"/>
      <c r="Q50" s="98"/>
    </row>
    <row r="51" spans="2:17" ht="22.5" customHeight="1" x14ac:dyDescent="0.35">
      <c r="B51" s="622" t="s">
        <v>489</v>
      </c>
      <c r="C51" s="623">
        <v>22.060219274563678</v>
      </c>
      <c r="D51" s="623">
        <v>22.073473550000472</v>
      </c>
      <c r="E51" s="623">
        <v>19.085324364139751</v>
      </c>
      <c r="F51" s="623">
        <v>11.603695490224936</v>
      </c>
      <c r="G51" s="623">
        <v>11.738164423530861</v>
      </c>
      <c r="H51" s="623">
        <v>9.6616712913876199</v>
      </c>
      <c r="I51" s="624">
        <v>9.3544020599996429</v>
      </c>
      <c r="J51" s="623">
        <v>10.232766082147009</v>
      </c>
      <c r="K51" s="623">
        <v>9.9210915420790116</v>
      </c>
      <c r="L51" s="624">
        <v>9.5590076623311688</v>
      </c>
      <c r="M51" s="849">
        <v>9.1665449205062259</v>
      </c>
      <c r="N51" s="625">
        <v>8.3529602000000978</v>
      </c>
      <c r="P51" s="97"/>
      <c r="Q51" s="98"/>
    </row>
    <row r="52" spans="2:17" ht="15" customHeight="1" x14ac:dyDescent="0.35">
      <c r="B52" s="618"/>
      <c r="C52" s="619"/>
      <c r="D52" s="619"/>
      <c r="E52" s="619"/>
      <c r="F52" s="619"/>
      <c r="G52" s="619"/>
      <c r="H52" s="619"/>
      <c r="I52" s="619"/>
      <c r="J52" s="619"/>
      <c r="K52" s="619"/>
      <c r="L52" s="619"/>
      <c r="M52" s="619"/>
      <c r="N52" s="619"/>
      <c r="Q52" s="98"/>
    </row>
    <row r="53" spans="2:17" ht="15" customHeight="1" x14ac:dyDescent="0.35">
      <c r="B53" s="124" t="s">
        <v>504</v>
      </c>
      <c r="C53" s="619"/>
      <c r="D53" s="619"/>
      <c r="E53" s="619"/>
      <c r="F53" s="619"/>
      <c r="G53" s="619"/>
      <c r="H53" s="619"/>
      <c r="I53" s="619"/>
      <c r="J53" s="619"/>
      <c r="K53" s="619"/>
      <c r="L53" s="619"/>
      <c r="M53" s="619"/>
      <c r="N53" s="619"/>
    </row>
    <row r="54" spans="2:17" ht="15" customHeight="1" x14ac:dyDescent="0.35">
      <c r="B54" s="124" t="s">
        <v>505</v>
      </c>
      <c r="C54" s="619"/>
      <c r="D54" s="619"/>
      <c r="E54" s="619"/>
      <c r="F54" s="619"/>
      <c r="G54" s="619"/>
      <c r="H54" s="619"/>
      <c r="I54" s="619"/>
      <c r="J54" s="619"/>
      <c r="K54" s="619"/>
      <c r="L54" s="619"/>
      <c r="M54" s="619"/>
      <c r="N54" s="619"/>
    </row>
    <row r="55" spans="2:17" ht="15" customHeight="1" x14ac:dyDescent="0.35">
      <c r="B55" s="618"/>
      <c r="C55" s="619"/>
      <c r="D55" s="619"/>
      <c r="E55" s="619"/>
      <c r="F55" s="619"/>
      <c r="G55" s="619"/>
      <c r="H55" s="619"/>
      <c r="I55" s="619"/>
      <c r="J55" s="619"/>
      <c r="K55" s="619"/>
      <c r="L55" s="619"/>
      <c r="M55" s="619"/>
      <c r="N55" s="619"/>
    </row>
    <row r="56" spans="2:17" ht="15" customHeight="1" x14ac:dyDescent="0.35">
      <c r="B56" s="620"/>
      <c r="C56" s="621"/>
      <c r="D56" s="621"/>
      <c r="E56" s="621"/>
      <c r="F56" s="621"/>
      <c r="G56" s="621"/>
      <c r="H56" s="621"/>
      <c r="I56" s="621"/>
      <c r="J56" s="621"/>
      <c r="K56" s="621"/>
      <c r="L56" s="621"/>
      <c r="M56" s="621"/>
      <c r="N56" s="621"/>
    </row>
  </sheetData>
  <mergeCells count="1">
    <mergeCell ref="B5:N5"/>
  </mergeCells>
  <hyperlinks>
    <hyperlink ref="N2" location="'Cover '!A1" display="Back to Cover" xr:uid="{A03E5750-6E5F-42BD-A123-1328716236C3}"/>
  </hyperlinks>
  <pageMargins left="0.7" right="0.7" top="0.75" bottom="0.75" header="0.3" footer="0.3"/>
  <pageSetup scale="4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S35"/>
  <sheetViews>
    <sheetView showGridLines="0" view="pageBreakPreview" zoomScale="80" zoomScaleNormal="85" zoomScaleSheetLayoutView="80" workbookViewId="0">
      <selection activeCell="B9" sqref="B9"/>
    </sheetView>
  </sheetViews>
  <sheetFormatPr defaultColWidth="9.140625" defaultRowHeight="15" customHeight="1" x14ac:dyDescent="0.2"/>
  <cols>
    <col min="1" max="1" width="2.42578125" style="20" customWidth="1"/>
    <col min="2" max="2" width="35.5703125" style="20" customWidth="1"/>
    <col min="3" max="14" width="14.5703125" style="22" customWidth="1"/>
    <col min="15" max="15" width="2.42578125" style="20" customWidth="1"/>
    <col min="16" max="16384" width="9.140625" style="20"/>
  </cols>
  <sheetData>
    <row r="1" spans="1:19" s="23" customFormat="1" ht="15.75" customHeight="1" x14ac:dyDescent="0.35">
      <c r="B1" s="576"/>
      <c r="C1" s="576"/>
      <c r="D1" s="576"/>
      <c r="E1" s="576"/>
      <c r="F1" s="576"/>
      <c r="G1" s="576"/>
      <c r="H1" s="576"/>
      <c r="I1" s="576"/>
      <c r="J1" s="576"/>
      <c r="K1" s="576"/>
      <c r="L1" s="576"/>
      <c r="M1" s="576"/>
      <c r="N1" s="576"/>
    </row>
    <row r="2" spans="1:19" s="23" customFormat="1" ht="15.75" customHeight="1" x14ac:dyDescent="0.35">
      <c r="B2" s="576"/>
      <c r="C2" s="601"/>
      <c r="D2" s="601"/>
      <c r="E2" s="601"/>
      <c r="F2" s="601"/>
      <c r="G2" s="601"/>
      <c r="H2" s="601"/>
      <c r="I2" s="601"/>
      <c r="J2" s="601"/>
      <c r="K2" s="601"/>
      <c r="L2" s="601"/>
      <c r="M2" s="601"/>
      <c r="N2" s="577" t="s">
        <v>20</v>
      </c>
    </row>
    <row r="3" spans="1:19" s="23" customFormat="1" ht="15.75" customHeight="1" x14ac:dyDescent="0.35">
      <c r="B3" s="576"/>
      <c r="C3" s="576"/>
      <c r="D3" s="576"/>
      <c r="E3" s="576"/>
      <c r="F3" s="576"/>
      <c r="G3" s="576"/>
      <c r="H3" s="576"/>
      <c r="I3" s="576"/>
      <c r="J3" s="576"/>
      <c r="K3" s="576"/>
      <c r="L3" s="576"/>
      <c r="M3" s="576"/>
      <c r="N3" s="576"/>
    </row>
    <row r="4" spans="1:19" s="24" customFormat="1" ht="15.75" customHeight="1" x14ac:dyDescent="0.3">
      <c r="B4" s="578"/>
      <c r="C4" s="578"/>
      <c r="D4" s="578"/>
      <c r="E4" s="578"/>
      <c r="F4" s="578"/>
      <c r="G4" s="578"/>
      <c r="H4" s="578"/>
      <c r="I4" s="578"/>
      <c r="J4" s="578"/>
      <c r="K4" s="578"/>
      <c r="L4" s="578"/>
      <c r="M4" s="578"/>
      <c r="N4" s="578"/>
    </row>
    <row r="5" spans="1:19" ht="28.5" x14ac:dyDescent="0.2">
      <c r="A5" s="16"/>
      <c r="B5" s="937" t="s">
        <v>126</v>
      </c>
      <c r="C5" s="937"/>
      <c r="D5" s="937"/>
      <c r="E5" s="937"/>
      <c r="F5" s="937"/>
      <c r="G5" s="937"/>
      <c r="H5" s="937"/>
      <c r="I5" s="937"/>
      <c r="J5" s="937"/>
      <c r="K5" s="937"/>
      <c r="L5" s="937"/>
      <c r="M5" s="937"/>
      <c r="N5" s="937"/>
    </row>
    <row r="6" spans="1:19" ht="9" customHeight="1" x14ac:dyDescent="0.2">
      <c r="A6" s="16"/>
      <c r="B6" s="127"/>
      <c r="C6" s="127"/>
      <c r="D6" s="127"/>
      <c r="E6" s="127"/>
      <c r="F6" s="127"/>
      <c r="G6" s="127"/>
      <c r="H6" s="127"/>
      <c r="I6" s="127"/>
      <c r="J6" s="127"/>
      <c r="K6" s="127"/>
      <c r="L6" s="127"/>
      <c r="M6" s="127"/>
      <c r="N6" s="127"/>
    </row>
    <row r="7" spans="1:19" ht="11.25" customHeight="1" x14ac:dyDescent="0.2">
      <c r="A7" s="18"/>
      <c r="B7" s="533"/>
      <c r="C7" s="533"/>
      <c r="D7" s="533"/>
      <c r="E7" s="533"/>
      <c r="F7" s="533"/>
      <c r="G7" s="533"/>
      <c r="H7" s="533"/>
      <c r="I7" s="533"/>
      <c r="J7" s="533"/>
      <c r="K7" s="533"/>
      <c r="L7" s="533"/>
      <c r="M7" s="533"/>
      <c r="N7" s="533"/>
    </row>
    <row r="8" spans="1:19" s="23" customFormat="1" ht="11.25" customHeight="1" x14ac:dyDescent="0.35">
      <c r="B8" s="576"/>
      <c r="C8" s="579"/>
      <c r="D8" s="579"/>
      <c r="E8" s="579"/>
      <c r="F8" s="579"/>
      <c r="G8" s="579"/>
      <c r="H8" s="579"/>
      <c r="I8" s="579"/>
      <c r="J8" s="579"/>
      <c r="K8" s="579"/>
      <c r="L8" s="579"/>
      <c r="M8" s="579"/>
      <c r="N8" s="579"/>
    </row>
    <row r="9" spans="1:19" s="23" customFormat="1" ht="34.5" customHeight="1" x14ac:dyDescent="0.25">
      <c r="B9" s="630" t="s">
        <v>77</v>
      </c>
      <c r="C9" s="587" t="s">
        <v>74</v>
      </c>
      <c r="D9" s="587" t="s">
        <v>131</v>
      </c>
      <c r="E9" s="587" t="s">
        <v>178</v>
      </c>
      <c r="F9" s="587" t="s">
        <v>182</v>
      </c>
      <c r="G9" s="587" t="s">
        <v>201</v>
      </c>
      <c r="H9" s="587" t="s">
        <v>202</v>
      </c>
      <c r="I9" s="587" t="s">
        <v>210</v>
      </c>
      <c r="J9" s="587" t="s">
        <v>332</v>
      </c>
      <c r="K9" s="587" t="s">
        <v>349</v>
      </c>
      <c r="L9" s="587" t="s">
        <v>451</v>
      </c>
      <c r="M9" s="600" t="s">
        <v>512</v>
      </c>
      <c r="N9" s="588" t="s">
        <v>547</v>
      </c>
      <c r="S9" s="69"/>
    </row>
    <row r="10" spans="1:19" s="25" customFormat="1" ht="20.25" customHeight="1" x14ac:dyDescent="0.35">
      <c r="B10" s="614"/>
      <c r="C10" s="583"/>
      <c r="D10" s="583"/>
      <c r="E10" s="583"/>
      <c r="F10" s="583"/>
      <c r="G10" s="583"/>
      <c r="H10" s="583"/>
      <c r="I10" s="590"/>
      <c r="J10" s="583"/>
      <c r="K10" s="583"/>
      <c r="L10" s="590"/>
      <c r="M10" s="846"/>
      <c r="N10" s="591"/>
      <c r="S10" s="70"/>
    </row>
    <row r="11" spans="1:19" s="25" customFormat="1" ht="20.25" customHeight="1" x14ac:dyDescent="0.35">
      <c r="B11" s="615" t="s">
        <v>199</v>
      </c>
      <c r="C11" s="626">
        <v>4915.0369695099962</v>
      </c>
      <c r="D11" s="626">
        <v>4721.7395479699999</v>
      </c>
      <c r="E11" s="626">
        <v>3425.745327170001</v>
      </c>
      <c r="F11" s="626">
        <v>3331.29172062</v>
      </c>
      <c r="G11" s="626">
        <v>2624.3162290799996</v>
      </c>
      <c r="H11" s="626">
        <v>2441.5529170199989</v>
      </c>
      <c r="I11" s="590">
        <v>2048.5796317300005</v>
      </c>
      <c r="J11" s="626">
        <v>2045.45625649</v>
      </c>
      <c r="K11" s="626">
        <f>J28</f>
        <v>1329.3203579900003</v>
      </c>
      <c r="L11" s="590">
        <f>J28</f>
        <v>1329.3203579900003</v>
      </c>
      <c r="M11" s="846">
        <f>K28</f>
        <v>1302.6423571399996</v>
      </c>
      <c r="N11" s="631">
        <f>M28</f>
        <v>1261.8381047699991</v>
      </c>
      <c r="S11" s="70"/>
    </row>
    <row r="12" spans="1:19" s="25" customFormat="1" ht="20.25" customHeight="1" x14ac:dyDescent="0.35">
      <c r="B12" s="615"/>
      <c r="C12" s="627"/>
      <c r="D12" s="627"/>
      <c r="E12" s="627"/>
      <c r="F12" s="627"/>
      <c r="G12" s="627"/>
      <c r="H12" s="627"/>
      <c r="I12" s="632"/>
      <c r="J12" s="627"/>
      <c r="K12" s="627"/>
      <c r="L12" s="632"/>
      <c r="M12" s="847"/>
      <c r="N12" s="633"/>
      <c r="S12" s="70"/>
    </row>
    <row r="13" spans="1:19" s="25" customFormat="1" ht="20.25" customHeight="1" x14ac:dyDescent="0.35">
      <c r="B13" s="634" t="s">
        <v>55</v>
      </c>
      <c r="C13" s="626">
        <v>40.4</v>
      </c>
      <c r="D13" s="626">
        <v>38.72</v>
      </c>
      <c r="E13" s="626">
        <v>31.74</v>
      </c>
      <c r="F13" s="626">
        <v>39.03</v>
      </c>
      <c r="G13" s="626">
        <v>34.39</v>
      </c>
      <c r="H13" s="626">
        <v>23.21</v>
      </c>
      <c r="I13" s="590">
        <v>18.59</v>
      </c>
      <c r="J13" s="626">
        <v>16.59</v>
      </c>
      <c r="K13" s="626">
        <v>16.809999999999999</v>
      </c>
      <c r="L13" s="590">
        <v>13.64</v>
      </c>
      <c r="M13" s="846">
        <v>9.76</v>
      </c>
      <c r="N13" s="631">
        <v>15.09</v>
      </c>
      <c r="S13" s="70"/>
    </row>
    <row r="14" spans="1:19" s="25" customFormat="1" ht="20.25" customHeight="1" x14ac:dyDescent="0.35">
      <c r="B14" s="634" t="s">
        <v>56</v>
      </c>
      <c r="C14" s="626">
        <v>75.099999999999994</v>
      </c>
      <c r="D14" s="626">
        <v>70.05</v>
      </c>
      <c r="E14" s="626">
        <v>67.31</v>
      </c>
      <c r="F14" s="626">
        <v>75.849999999999994</v>
      </c>
      <c r="G14" s="626">
        <v>58.4</v>
      </c>
      <c r="H14" s="626">
        <v>193.13</v>
      </c>
      <c r="I14" s="590">
        <v>61.39</v>
      </c>
      <c r="J14" s="626">
        <v>62.79</v>
      </c>
      <c r="K14" s="626">
        <v>67.61</v>
      </c>
      <c r="L14" s="590">
        <v>78</v>
      </c>
      <c r="M14" s="846">
        <v>51.93</v>
      </c>
      <c r="N14" s="631">
        <v>99.89</v>
      </c>
      <c r="S14" s="70"/>
    </row>
    <row r="15" spans="1:19" s="25" customFormat="1" ht="20.25" customHeight="1" x14ac:dyDescent="0.35">
      <c r="B15" s="634" t="s">
        <v>193</v>
      </c>
      <c r="C15" s="626">
        <f t="shared" ref="C15:E15" si="0">C13+C14</f>
        <v>115.5</v>
      </c>
      <c r="D15" s="626">
        <f t="shared" si="0"/>
        <v>108.77</v>
      </c>
      <c r="E15" s="626">
        <f t="shared" si="0"/>
        <v>99.05</v>
      </c>
      <c r="F15" s="626">
        <f t="shared" ref="F15" si="1">F13+F14</f>
        <v>114.88</v>
      </c>
      <c r="G15" s="626">
        <f t="shared" ref="G15" si="2">G13+G14</f>
        <v>92.789999999999992</v>
      </c>
      <c r="H15" s="626">
        <f t="shared" ref="H15" si="3">H13+H14</f>
        <v>216.34</v>
      </c>
      <c r="I15" s="590">
        <f t="shared" ref="I15" si="4">I13+I14</f>
        <v>79.98</v>
      </c>
      <c r="J15" s="626">
        <f t="shared" ref="J15" si="5">J13+J14</f>
        <v>79.38</v>
      </c>
      <c r="K15" s="626">
        <f>K13+K14</f>
        <v>84.42</v>
      </c>
      <c r="L15" s="590">
        <f>L13+L14</f>
        <v>91.64</v>
      </c>
      <c r="M15" s="846">
        <f>M13+M14</f>
        <v>61.69</v>
      </c>
      <c r="N15" s="631">
        <f>N13+N14</f>
        <v>114.98</v>
      </c>
      <c r="S15" s="70"/>
    </row>
    <row r="16" spans="1:19" s="25" customFormat="1" ht="20.25" customHeight="1" x14ac:dyDescent="0.35">
      <c r="B16" s="635" t="s">
        <v>194</v>
      </c>
      <c r="C16" s="628">
        <v>50.2</v>
      </c>
      <c r="D16" s="628">
        <v>30.96</v>
      </c>
      <c r="E16" s="628">
        <v>26.71</v>
      </c>
      <c r="F16" s="628">
        <v>46.61</v>
      </c>
      <c r="G16" s="628">
        <v>22.16</v>
      </c>
      <c r="H16" s="628">
        <v>151.85999999999999</v>
      </c>
      <c r="I16" s="594">
        <v>16.920000000000002</v>
      </c>
      <c r="J16" s="628">
        <v>23.12</v>
      </c>
      <c r="K16" s="628">
        <v>35.56</v>
      </c>
      <c r="L16" s="594">
        <v>30.17</v>
      </c>
      <c r="M16" s="848">
        <v>18.18</v>
      </c>
      <c r="N16" s="636">
        <v>77.36</v>
      </c>
      <c r="S16" s="70"/>
    </row>
    <row r="17" spans="2:19" s="25" customFormat="1" ht="20.25" customHeight="1" x14ac:dyDescent="0.35">
      <c r="B17" s="635" t="s">
        <v>195</v>
      </c>
      <c r="C17" s="628">
        <v>42.56</v>
      </c>
      <c r="D17" s="628">
        <v>52.25</v>
      </c>
      <c r="E17" s="628">
        <v>50.54</v>
      </c>
      <c r="F17" s="628">
        <v>47.81</v>
      </c>
      <c r="G17" s="628">
        <v>51.56</v>
      </c>
      <c r="H17" s="628">
        <v>47.18</v>
      </c>
      <c r="I17" s="594">
        <v>44.15</v>
      </c>
      <c r="J17" s="628">
        <v>40.159999999999997</v>
      </c>
      <c r="K17" s="628">
        <v>33.630000000000003</v>
      </c>
      <c r="L17" s="594">
        <v>44.199999999999996</v>
      </c>
      <c r="M17" s="848">
        <v>28.01</v>
      </c>
      <c r="N17" s="636">
        <v>24.21</v>
      </c>
      <c r="S17" s="70"/>
    </row>
    <row r="18" spans="2:19" s="25" customFormat="1" ht="20.25" customHeight="1" x14ac:dyDescent="0.35">
      <c r="B18" s="635" t="s">
        <v>196</v>
      </c>
      <c r="C18" s="628">
        <v>22.74</v>
      </c>
      <c r="D18" s="628">
        <v>25.56</v>
      </c>
      <c r="E18" s="628">
        <v>21.8</v>
      </c>
      <c r="F18" s="628">
        <v>20.46</v>
      </c>
      <c r="G18" s="628">
        <v>19.05</v>
      </c>
      <c r="H18" s="628">
        <v>17.309999999999999</v>
      </c>
      <c r="I18" s="594">
        <v>18.91</v>
      </c>
      <c r="J18" s="628">
        <v>16.09</v>
      </c>
      <c r="K18" s="628">
        <v>15.22</v>
      </c>
      <c r="L18" s="594">
        <v>17.259999999999998</v>
      </c>
      <c r="M18" s="848">
        <v>15.48</v>
      </c>
      <c r="N18" s="636">
        <v>13.41</v>
      </c>
      <c r="S18" s="70"/>
    </row>
    <row r="19" spans="2:19" s="25" customFormat="1" ht="20.25" customHeight="1" x14ac:dyDescent="0.35">
      <c r="B19" s="635"/>
      <c r="C19" s="627"/>
      <c r="D19" s="627"/>
      <c r="E19" s="627"/>
      <c r="F19" s="627"/>
      <c r="G19" s="627"/>
      <c r="H19" s="627"/>
      <c r="I19" s="632"/>
      <c r="J19" s="627"/>
      <c r="K19" s="627"/>
      <c r="L19" s="632"/>
      <c r="M19" s="847"/>
      <c r="N19" s="633"/>
      <c r="S19" s="70"/>
    </row>
    <row r="20" spans="2:19" s="25" customFormat="1" ht="20.25" customHeight="1" x14ac:dyDescent="0.35">
      <c r="B20" s="634" t="s">
        <v>60</v>
      </c>
      <c r="C20" s="626">
        <v>-224.10000000000019</v>
      </c>
      <c r="D20" s="626">
        <v>-364.16999999999996</v>
      </c>
      <c r="E20" s="626">
        <v>-169.97000000000006</v>
      </c>
      <c r="F20" s="626">
        <v>-270.56999999999982</v>
      </c>
      <c r="G20" s="626">
        <v>-158.26999999999995</v>
      </c>
      <c r="H20" s="626">
        <v>-142.70000000000024</v>
      </c>
      <c r="I20" s="590">
        <v>-52.539999999999893</v>
      </c>
      <c r="J20" s="626">
        <v>-271.54000000000008</v>
      </c>
      <c r="K20" s="626">
        <v>-58.239999999999839</v>
      </c>
      <c r="L20" s="590">
        <v>-117.54000000000011</v>
      </c>
      <c r="M20" s="846">
        <v>-57.430000000000071</v>
      </c>
      <c r="N20" s="631">
        <v>-56.499999999999915</v>
      </c>
      <c r="S20" s="70"/>
    </row>
    <row r="21" spans="2:19" s="25" customFormat="1" ht="20.25" customHeight="1" x14ac:dyDescent="0.35">
      <c r="B21" s="635" t="s">
        <v>194</v>
      </c>
      <c r="C21" s="628">
        <v>-113.0349940100061</v>
      </c>
      <c r="D21" s="628">
        <v>-292.6099999999999</v>
      </c>
      <c r="E21" s="628">
        <v>-125.33000000000001</v>
      </c>
      <c r="F21" s="628">
        <v>-225.50999999999991</v>
      </c>
      <c r="G21" s="628">
        <v>-101.47999999999993</v>
      </c>
      <c r="H21" s="628">
        <v>-110.24999999999994</v>
      </c>
      <c r="I21" s="594">
        <v>-21.840000000000128</v>
      </c>
      <c r="J21" s="628">
        <v>-236.39000000000001</v>
      </c>
      <c r="K21" s="628">
        <v>-30.169999999999966</v>
      </c>
      <c r="L21" s="594">
        <v>-89.77</v>
      </c>
      <c r="M21" s="848">
        <v>-37.47</v>
      </c>
      <c r="N21" s="636">
        <v>-34.640000000000029</v>
      </c>
      <c r="S21" s="70"/>
    </row>
    <row r="22" spans="2:19" s="25" customFormat="1" ht="20.25" customHeight="1" x14ac:dyDescent="0.35">
      <c r="B22" s="635" t="s">
        <v>195</v>
      </c>
      <c r="C22" s="628">
        <v>-89.280590269999138</v>
      </c>
      <c r="D22" s="628">
        <v>-54.17</v>
      </c>
      <c r="E22" s="628">
        <v>-31.959999999999997</v>
      </c>
      <c r="F22" s="628">
        <v>-28.740000000000009</v>
      </c>
      <c r="G22" s="628">
        <v>-41.53</v>
      </c>
      <c r="H22" s="628">
        <v>-20.080000000000016</v>
      </c>
      <c r="I22" s="594">
        <v>-22.040000000000028</v>
      </c>
      <c r="J22" s="628">
        <v>-22.169999999999966</v>
      </c>
      <c r="K22" s="628">
        <v>-20.429999999999989</v>
      </c>
      <c r="L22" s="594">
        <v>-20.590000000000028</v>
      </c>
      <c r="M22" s="848">
        <v>-14.619999999999976</v>
      </c>
      <c r="N22" s="636">
        <v>-17.249999999999996</v>
      </c>
      <c r="S22" s="70"/>
    </row>
    <row r="23" spans="2:19" s="25" customFormat="1" ht="20.25" customHeight="1" x14ac:dyDescent="0.35">
      <c r="B23" s="635" t="s">
        <v>196</v>
      </c>
      <c r="C23" s="628">
        <v>-21.812554031532613</v>
      </c>
      <c r="D23" s="628">
        <v>-17.389999999999997</v>
      </c>
      <c r="E23" s="628">
        <v>-12.670000000000002</v>
      </c>
      <c r="F23" s="628">
        <v>-16.319999999999961</v>
      </c>
      <c r="G23" s="628">
        <v>-15.23000000000005</v>
      </c>
      <c r="H23" s="628">
        <v>-12.389999999999953</v>
      </c>
      <c r="I23" s="594">
        <v>-8.6600000000000108</v>
      </c>
      <c r="J23" s="628">
        <v>-12.970000000000006</v>
      </c>
      <c r="K23" s="628">
        <v>-7.6200000000000019</v>
      </c>
      <c r="L23" s="594">
        <v>-7.1799999999999988</v>
      </c>
      <c r="M23" s="848">
        <v>-5.3300000000000036</v>
      </c>
      <c r="N23" s="636">
        <v>-4.5999999999999908</v>
      </c>
      <c r="S23" s="70"/>
    </row>
    <row r="24" spans="2:19" s="25" customFormat="1" ht="20.25" customHeight="1" x14ac:dyDescent="0.35">
      <c r="B24" s="635"/>
      <c r="C24" s="627"/>
      <c r="D24" s="627"/>
      <c r="E24" s="627"/>
      <c r="F24" s="627"/>
      <c r="G24" s="627"/>
      <c r="H24" s="627"/>
      <c r="I24" s="632"/>
      <c r="J24" s="627"/>
      <c r="K24" s="627"/>
      <c r="L24" s="632"/>
      <c r="M24" s="847"/>
      <c r="N24" s="633"/>
      <c r="S24" s="70"/>
    </row>
    <row r="25" spans="2:19" s="25" customFormat="1" ht="20.25" customHeight="1" x14ac:dyDescent="0.35">
      <c r="B25" s="615" t="s">
        <v>59</v>
      </c>
      <c r="C25" s="626">
        <v>-83.1</v>
      </c>
      <c r="D25" s="626">
        <v>-159.02000000000001</v>
      </c>
      <c r="E25" s="626">
        <v>-18.75</v>
      </c>
      <c r="F25" s="626">
        <v>-97.63</v>
      </c>
      <c r="G25" s="626">
        <v>-95.11</v>
      </c>
      <c r="H25" s="626">
        <v>-40.4</v>
      </c>
      <c r="I25" s="590">
        <v>-30.6</v>
      </c>
      <c r="J25" s="626">
        <v>-173.77</v>
      </c>
      <c r="K25" s="626">
        <v>-26.32</v>
      </c>
      <c r="L25" s="590">
        <v>-12.8</v>
      </c>
      <c r="M25" s="846">
        <v>-6.03</v>
      </c>
      <c r="N25" s="631">
        <v>-18.72</v>
      </c>
      <c r="S25" s="70"/>
    </row>
    <row r="26" spans="2:19" s="25" customFormat="1" ht="20.25" customHeight="1" x14ac:dyDescent="0.35">
      <c r="B26" s="615" t="s">
        <v>57</v>
      </c>
      <c r="C26" s="626">
        <v>-1.6</v>
      </c>
      <c r="D26" s="626">
        <v>-881.57</v>
      </c>
      <c r="E26" s="626">
        <v>-4.79</v>
      </c>
      <c r="F26" s="626">
        <v>-453.65</v>
      </c>
      <c r="G26" s="626">
        <v>-22.18</v>
      </c>
      <c r="H26" s="626">
        <v>-426.21</v>
      </c>
      <c r="I26" s="590">
        <v>0.04</v>
      </c>
      <c r="J26" s="626">
        <v>-350.21</v>
      </c>
      <c r="K26" s="626">
        <v>-26.54</v>
      </c>
      <c r="L26" s="590">
        <v>-0.43</v>
      </c>
      <c r="M26" s="846">
        <v>0.1</v>
      </c>
      <c r="N26" s="631">
        <v>-233.61</v>
      </c>
      <c r="S26" s="70"/>
    </row>
    <row r="27" spans="2:19" s="25" customFormat="1" ht="20.25" customHeight="1" x14ac:dyDescent="0.35">
      <c r="B27" s="615"/>
      <c r="C27" s="584"/>
      <c r="D27" s="584"/>
      <c r="E27" s="584"/>
      <c r="F27" s="584"/>
      <c r="G27" s="584"/>
      <c r="H27" s="584"/>
      <c r="I27" s="594"/>
      <c r="J27" s="584"/>
      <c r="K27" s="584"/>
      <c r="L27" s="594"/>
      <c r="M27" s="848"/>
      <c r="N27" s="595"/>
    </row>
    <row r="28" spans="2:19" s="25" customFormat="1" ht="20.25" customHeight="1" x14ac:dyDescent="0.35">
      <c r="B28" s="615" t="s">
        <v>58</v>
      </c>
      <c r="C28" s="583">
        <v>4721.7395479699999</v>
      </c>
      <c r="D28" s="583">
        <v>3425.745327170001</v>
      </c>
      <c r="E28" s="583">
        <v>3331.29172062</v>
      </c>
      <c r="F28" s="583">
        <v>2624.3162290799996</v>
      </c>
      <c r="G28" s="583">
        <v>2441.5529170199989</v>
      </c>
      <c r="H28" s="583">
        <v>2048.5796317300005</v>
      </c>
      <c r="I28" s="590">
        <v>2045.45625649</v>
      </c>
      <c r="J28" s="583">
        <v>1329.3203579900003</v>
      </c>
      <c r="K28" s="583">
        <v>1302.6423571399996</v>
      </c>
      <c r="L28" s="590">
        <v>1263.5071478100012</v>
      </c>
      <c r="M28" s="846">
        <v>1261.8381047699991</v>
      </c>
      <c r="N28" s="591">
        <v>1067.9918054000004</v>
      </c>
    </row>
    <row r="29" spans="2:19" s="25" customFormat="1" ht="20.25" customHeight="1" x14ac:dyDescent="0.35">
      <c r="B29" s="637"/>
      <c r="C29" s="638"/>
      <c r="D29" s="638"/>
      <c r="E29" s="638"/>
      <c r="F29" s="638"/>
      <c r="G29" s="638"/>
      <c r="H29" s="638"/>
      <c r="I29" s="639"/>
      <c r="J29" s="638"/>
      <c r="K29" s="638"/>
      <c r="L29" s="639"/>
      <c r="M29" s="782"/>
      <c r="N29" s="640"/>
    </row>
    <row r="30" spans="2:19" s="26" customFormat="1" ht="11.25" customHeight="1" x14ac:dyDescent="0.35">
      <c r="B30" s="629"/>
      <c r="C30" s="608"/>
      <c r="D30" s="608"/>
      <c r="E30" s="608"/>
      <c r="F30" s="608"/>
      <c r="G30" s="608"/>
      <c r="H30" s="608"/>
      <c r="I30" s="608"/>
      <c r="J30" s="617"/>
      <c r="K30" s="617"/>
      <c r="L30" s="617"/>
      <c r="M30" s="617"/>
      <c r="N30" s="608"/>
    </row>
    <row r="31" spans="2:19" s="26" customFormat="1" ht="18.75" customHeight="1" x14ac:dyDescent="0.35">
      <c r="B31" s="767" t="s">
        <v>209</v>
      </c>
      <c r="C31" s="608"/>
      <c r="D31" s="608"/>
      <c r="E31" s="608"/>
      <c r="F31" s="608"/>
      <c r="G31" s="608"/>
      <c r="H31" s="608"/>
      <c r="I31" s="608"/>
      <c r="J31" s="608"/>
      <c r="K31" s="608"/>
      <c r="L31" s="608"/>
      <c r="M31" s="608"/>
      <c r="N31" s="608"/>
    </row>
    <row r="32" spans="2:19" s="19" customFormat="1" ht="22.5" customHeight="1" x14ac:dyDescent="0.2">
      <c r="B32" s="950"/>
      <c r="C32" s="950"/>
      <c r="D32" s="950"/>
      <c r="E32" s="950"/>
      <c r="F32" s="950"/>
      <c r="G32" s="950"/>
      <c r="H32" s="950"/>
      <c r="I32" s="950"/>
      <c r="J32" s="950"/>
      <c r="K32" s="950"/>
      <c r="L32" s="950"/>
      <c r="M32" s="950"/>
      <c r="N32" s="950"/>
    </row>
    <row r="34" spans="3:14" ht="15" customHeight="1" x14ac:dyDescent="0.2">
      <c r="C34" s="71"/>
      <c r="D34" s="71"/>
      <c r="E34" s="71"/>
      <c r="F34" s="71"/>
      <c r="G34" s="71"/>
      <c r="H34" s="71"/>
      <c r="I34" s="71"/>
      <c r="J34" s="71"/>
      <c r="K34" s="71"/>
      <c r="L34" s="71"/>
      <c r="M34" s="71"/>
      <c r="N34" s="71"/>
    </row>
    <row r="35" spans="3:14" ht="15" customHeight="1" x14ac:dyDescent="0.2">
      <c r="C35" s="72"/>
      <c r="D35" s="72"/>
      <c r="E35" s="72"/>
      <c r="F35" s="72"/>
      <c r="G35" s="72"/>
      <c r="H35" s="72"/>
      <c r="I35" s="72"/>
      <c r="J35" s="72"/>
      <c r="K35" s="72"/>
      <c r="L35" s="72"/>
      <c r="M35" s="72"/>
      <c r="N35" s="72"/>
    </row>
  </sheetData>
  <mergeCells count="2">
    <mergeCell ref="B5:N5"/>
    <mergeCell ref="B32:N32"/>
  </mergeCells>
  <hyperlinks>
    <hyperlink ref="N2" location="'Cover '!A1" display="Back to Cover" xr:uid="{49077E08-3475-43F9-B35F-D0DD0E50A313}"/>
  </hyperlinks>
  <printOptions horizontalCentered="1" verticalCentered="1"/>
  <pageMargins left="0" right="0" top="0" bottom="0" header="0" footer="0"/>
  <pageSetup paperSize="8" scale="96" orientation="landscape" r:id="rId1"/>
  <headerFooter alignWithMargins="0"/>
  <ignoredErrors>
    <ignoredError sqref="L1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view="pageBreakPreview" zoomScale="80" zoomScaleNormal="90" zoomScaleSheetLayoutView="80" workbookViewId="0">
      <pane xSplit="2" ySplit="10" topLeftCell="C11" activePane="bottomRight" state="frozen"/>
      <selection pane="topRight" activeCell="C1" sqref="C1"/>
      <selection pane="bottomLeft" activeCell="A11" sqref="A11"/>
      <selection pane="bottomRight" activeCell="B10" sqref="B10"/>
    </sheetView>
  </sheetViews>
  <sheetFormatPr defaultColWidth="9.140625" defaultRowHeight="15" x14ac:dyDescent="0.25"/>
  <cols>
    <col min="1" max="1" width="2.42578125" style="27" customWidth="1"/>
    <col min="2" max="2" width="35" style="27" customWidth="1"/>
    <col min="3" max="14" width="15.7109375" style="27" customWidth="1"/>
    <col min="15" max="15" width="2.42578125" style="27" customWidth="1"/>
    <col min="16" max="16384" width="9.140625" style="27"/>
  </cols>
  <sheetData>
    <row r="1" spans="1:14" ht="15.75" customHeight="1" x14ac:dyDescent="0.3">
      <c r="B1" s="641"/>
      <c r="C1" s="641"/>
      <c r="D1" s="641"/>
      <c r="E1" s="641"/>
      <c r="F1" s="641"/>
      <c r="G1" s="641"/>
      <c r="H1" s="641"/>
      <c r="I1" s="641"/>
      <c r="J1" s="641"/>
      <c r="K1" s="641"/>
      <c r="L1" s="641"/>
      <c r="M1" s="641"/>
      <c r="N1" s="641"/>
    </row>
    <row r="2" spans="1:14" ht="15.75" customHeight="1" x14ac:dyDescent="0.35">
      <c r="B2" s="641"/>
      <c r="C2" s="642"/>
      <c r="D2" s="642"/>
      <c r="E2" s="642"/>
      <c r="F2" s="642"/>
      <c r="G2" s="642"/>
      <c r="H2" s="642"/>
      <c r="I2" s="642"/>
      <c r="J2" s="642"/>
      <c r="K2" s="642"/>
      <c r="L2" s="642"/>
      <c r="M2" s="642"/>
      <c r="N2" s="577" t="s">
        <v>20</v>
      </c>
    </row>
    <row r="3" spans="1:14" ht="15.75" customHeight="1" x14ac:dyDescent="0.3">
      <c r="B3" s="641"/>
      <c r="C3" s="641"/>
      <c r="D3" s="641"/>
      <c r="E3" s="641"/>
      <c r="F3" s="641"/>
      <c r="G3" s="641"/>
      <c r="H3" s="641"/>
      <c r="I3" s="641"/>
      <c r="J3" s="641"/>
      <c r="K3" s="641"/>
      <c r="L3" s="641"/>
      <c r="M3" s="641"/>
      <c r="N3" s="641"/>
    </row>
    <row r="4" spans="1:14" ht="15.75" customHeight="1" x14ac:dyDescent="0.35">
      <c r="B4" s="641"/>
      <c r="C4" s="601"/>
      <c r="D4" s="601"/>
      <c r="E4" s="601"/>
      <c r="F4" s="601"/>
      <c r="G4" s="601"/>
      <c r="H4" s="601"/>
      <c r="I4" s="601"/>
      <c r="J4" s="601"/>
      <c r="K4" s="601"/>
      <c r="L4" s="601"/>
      <c r="M4" s="601"/>
      <c r="N4" s="641"/>
    </row>
    <row r="5" spans="1:14" ht="26.25" customHeight="1" x14ac:dyDescent="0.25">
      <c r="A5" s="28"/>
      <c r="B5" s="937" t="s">
        <v>42</v>
      </c>
      <c r="C5" s="937"/>
      <c r="D5" s="937"/>
      <c r="E5" s="937"/>
      <c r="F5" s="937"/>
      <c r="G5" s="937"/>
      <c r="H5" s="937"/>
      <c r="I5" s="937"/>
      <c r="J5" s="937"/>
      <c r="K5" s="937"/>
      <c r="L5" s="937"/>
      <c r="M5" s="937"/>
      <c r="N5" s="937"/>
    </row>
    <row r="6" spans="1:14" s="29" customFormat="1" ht="16.5" x14ac:dyDescent="0.25">
      <c r="A6" s="28"/>
      <c r="B6" s="643"/>
      <c r="C6" s="643"/>
      <c r="D6" s="643"/>
      <c r="E6" s="643"/>
      <c r="F6" s="643"/>
      <c r="G6" s="643"/>
      <c r="H6" s="643"/>
      <c r="I6" s="643"/>
      <c r="J6" s="643"/>
      <c r="K6" s="643"/>
      <c r="L6" s="643"/>
      <c r="M6" s="643"/>
      <c r="N6" s="643"/>
    </row>
    <row r="7" spans="1:14" ht="16.5" x14ac:dyDescent="0.3">
      <c r="B7" s="644"/>
      <c r="C7" s="644"/>
      <c r="D7" s="644"/>
      <c r="E7" s="644"/>
      <c r="F7" s="644"/>
      <c r="G7" s="644"/>
      <c r="H7" s="644"/>
      <c r="I7" s="644"/>
      <c r="J7" s="644"/>
      <c r="K7" s="644"/>
      <c r="L7" s="644"/>
      <c r="M7" s="644"/>
      <c r="N7" s="644"/>
    </row>
    <row r="8" spans="1:14" ht="15" customHeight="1" x14ac:dyDescent="0.3">
      <c r="B8" s="644" t="s">
        <v>43</v>
      </c>
      <c r="C8" s="645"/>
      <c r="D8" s="645"/>
      <c r="E8" s="645"/>
      <c r="F8" s="645"/>
      <c r="G8" s="645"/>
      <c r="H8" s="645"/>
      <c r="I8" s="645"/>
      <c r="J8" s="645"/>
      <c r="K8" s="645"/>
      <c r="L8" s="645"/>
      <c r="M8" s="645"/>
      <c r="N8" s="645"/>
    </row>
    <row r="9" spans="1:14" ht="16.5" x14ac:dyDescent="0.3">
      <c r="B9" s="644"/>
      <c r="C9" s="645"/>
      <c r="D9" s="645"/>
      <c r="E9" s="645"/>
      <c r="F9" s="645"/>
      <c r="G9" s="645"/>
      <c r="H9" s="645"/>
      <c r="I9" s="645"/>
      <c r="J9" s="645"/>
      <c r="K9" s="645"/>
      <c r="L9" s="645"/>
      <c r="M9" s="645"/>
      <c r="N9" s="645"/>
    </row>
    <row r="10" spans="1:14" s="30" customFormat="1" ht="21" x14ac:dyDescent="0.25">
      <c r="B10" s="668"/>
      <c r="C10" s="587">
        <v>44651</v>
      </c>
      <c r="D10" s="587">
        <v>44742</v>
      </c>
      <c r="E10" s="587">
        <v>44834</v>
      </c>
      <c r="F10" s="587">
        <v>44926</v>
      </c>
      <c r="G10" s="587">
        <v>45016</v>
      </c>
      <c r="H10" s="587">
        <v>45107</v>
      </c>
      <c r="I10" s="587">
        <v>45199</v>
      </c>
      <c r="J10" s="587">
        <v>45291</v>
      </c>
      <c r="K10" s="587">
        <v>45382</v>
      </c>
      <c r="L10" s="587">
        <v>45473</v>
      </c>
      <c r="M10" s="600">
        <v>45565</v>
      </c>
      <c r="N10" s="587">
        <v>45657</v>
      </c>
    </row>
    <row r="11" spans="1:14" ht="20.25" customHeight="1" x14ac:dyDescent="0.3">
      <c r="B11" s="646"/>
      <c r="C11" s="646"/>
      <c r="D11" s="646"/>
      <c r="E11" s="646"/>
      <c r="F11" s="646"/>
      <c r="G11" s="646"/>
      <c r="H11" s="646"/>
      <c r="I11" s="646"/>
      <c r="J11" s="646"/>
      <c r="K11" s="646"/>
      <c r="L11" s="646"/>
      <c r="M11" s="653"/>
      <c r="N11" s="646"/>
    </row>
    <row r="12" spans="1:14" ht="24" customHeight="1" x14ac:dyDescent="0.25">
      <c r="B12" s="664" t="s">
        <v>314</v>
      </c>
      <c r="C12" s="652"/>
      <c r="D12" s="652"/>
      <c r="E12" s="652"/>
      <c r="F12" s="652"/>
      <c r="G12" s="652"/>
      <c r="H12" s="652"/>
      <c r="I12" s="652"/>
      <c r="J12" s="652"/>
      <c r="K12" s="652"/>
      <c r="L12" s="652"/>
      <c r="M12" s="654"/>
      <c r="N12" s="652"/>
    </row>
    <row r="13" spans="1:14" ht="16.5" x14ac:dyDescent="0.3">
      <c r="B13" s="665" t="s">
        <v>54</v>
      </c>
      <c r="C13" s="666"/>
      <c r="D13" s="666"/>
      <c r="E13" s="666"/>
      <c r="F13" s="666"/>
      <c r="G13" s="666"/>
      <c r="H13" s="666"/>
      <c r="I13" s="666"/>
      <c r="J13" s="666"/>
      <c r="K13" s="666"/>
      <c r="L13" s="666"/>
      <c r="M13" s="667"/>
      <c r="N13" s="666"/>
    </row>
    <row r="14" spans="1:14" s="31" customFormat="1" ht="15" customHeight="1" x14ac:dyDescent="0.3">
      <c r="B14" s="647" t="s">
        <v>63</v>
      </c>
      <c r="C14" s="648">
        <v>3561.6973419999999</v>
      </c>
      <c r="D14" s="648">
        <v>3474.0866339999998</v>
      </c>
      <c r="E14" s="648">
        <v>3792.4899409999998</v>
      </c>
      <c r="F14" s="648">
        <v>4064.2339860000002</v>
      </c>
      <c r="G14" s="648">
        <v>3779.8510980000001</v>
      </c>
      <c r="H14" s="648">
        <v>3865.9960590000001</v>
      </c>
      <c r="I14" s="648">
        <v>4110.370457</v>
      </c>
      <c r="J14" s="648">
        <v>4326.7381299999997</v>
      </c>
      <c r="K14" s="648">
        <v>4494.4756909999996</v>
      </c>
      <c r="L14" s="648">
        <v>4729.2096068473256</v>
      </c>
      <c r="M14" s="655">
        <v>4944.4027484886201</v>
      </c>
      <c r="N14" s="648">
        <v>4935.617174</v>
      </c>
    </row>
    <row r="15" spans="1:14" ht="16.5" x14ac:dyDescent="0.3">
      <c r="B15" s="647" t="s">
        <v>61</v>
      </c>
      <c r="C15" s="648">
        <v>5053.4596650000003</v>
      </c>
      <c r="D15" s="648">
        <v>4966.5417980000002</v>
      </c>
      <c r="E15" s="648">
        <v>5285.0870880000002</v>
      </c>
      <c r="F15" s="648">
        <v>5557.3076840000003</v>
      </c>
      <c r="G15" s="648">
        <v>5273.5551919999998</v>
      </c>
      <c r="H15" s="648">
        <v>5360.4137840000003</v>
      </c>
      <c r="I15" s="648">
        <v>5604.9866160000001</v>
      </c>
      <c r="J15" s="648">
        <v>5821.8881970000002</v>
      </c>
      <c r="K15" s="648">
        <v>6085.0819289999999</v>
      </c>
      <c r="L15" s="648">
        <v>6336.9569688473248</v>
      </c>
      <c r="M15" s="655">
        <v>6698.9759459332199</v>
      </c>
      <c r="N15" s="648">
        <v>6708.1066760000003</v>
      </c>
    </row>
    <row r="16" spans="1:14" ht="16.5" x14ac:dyDescent="0.3">
      <c r="B16" s="647" t="s">
        <v>62</v>
      </c>
      <c r="C16" s="648">
        <v>31670.097586</v>
      </c>
      <c r="D16" s="648">
        <v>31539.619437000001</v>
      </c>
      <c r="E16" s="648">
        <v>31891.510697000002</v>
      </c>
      <c r="F16" s="648">
        <v>31178.187938999999</v>
      </c>
      <c r="G16" s="648">
        <v>31082.554315000001</v>
      </c>
      <c r="H16" s="648">
        <v>31617.013011999999</v>
      </c>
      <c r="I16" s="648">
        <v>32172.703530999999</v>
      </c>
      <c r="J16" s="648">
        <v>32765.057611</v>
      </c>
      <c r="K16" s="648">
        <v>33051.265322618674</v>
      </c>
      <c r="L16" s="648">
        <v>34143.051293999997</v>
      </c>
      <c r="M16" s="655">
        <v>33708.738581787897</v>
      </c>
      <c r="N16" s="648">
        <v>34098.476318000001</v>
      </c>
    </row>
    <row r="17" spans="2:16" ht="16.5" x14ac:dyDescent="0.3">
      <c r="B17" s="649" t="s">
        <v>65</v>
      </c>
      <c r="C17" s="650">
        <v>0.11246246817927313</v>
      </c>
      <c r="D17" s="650">
        <v>0.11014992241550171</v>
      </c>
      <c r="E17" s="650">
        <v>0.11891847887145575</v>
      </c>
      <c r="F17" s="650">
        <v>0.13035504160638386</v>
      </c>
      <c r="G17" s="650">
        <v>0.12160683641678371</v>
      </c>
      <c r="H17" s="650">
        <v>0.12227581579362637</v>
      </c>
      <c r="I17" s="650">
        <v>0.12775956030675054</v>
      </c>
      <c r="J17" s="650">
        <v>0.13205342659148606</v>
      </c>
      <c r="K17" s="650">
        <v>0.13598498112337623</v>
      </c>
      <c r="L17" s="650">
        <v>0.13851162762592328</v>
      </c>
      <c r="M17" s="656">
        <v>0.14668014753776559</v>
      </c>
      <c r="N17" s="650">
        <v>0.14474597421804952</v>
      </c>
    </row>
    <row r="18" spans="2:16" ht="16.5" x14ac:dyDescent="0.3">
      <c r="B18" s="649" t="s">
        <v>66</v>
      </c>
      <c r="C18" s="650">
        <v>0.15956564867782155</v>
      </c>
      <c r="D18" s="650">
        <v>0.15746993421783689</v>
      </c>
      <c r="E18" s="650">
        <v>0.16572081323501436</v>
      </c>
      <c r="F18" s="650">
        <v>0.17824344682483956</v>
      </c>
      <c r="G18" s="650">
        <v>0.16966286420852666</v>
      </c>
      <c r="H18" s="650">
        <v>0.16954206844161704</v>
      </c>
      <c r="I18" s="650">
        <v>0.17421559274927942</v>
      </c>
      <c r="J18" s="650">
        <v>0.17768588311730774</v>
      </c>
      <c r="K18" s="650">
        <v>0.18411040756238964</v>
      </c>
      <c r="L18" s="650">
        <v>0.18560019473013317</v>
      </c>
      <c r="M18" s="656">
        <v>0.1987311370219155</v>
      </c>
      <c r="N18" s="650">
        <v>0.19672746117570378</v>
      </c>
    </row>
    <row r="19" spans="2:16" ht="15.75" x14ac:dyDescent="0.3">
      <c r="B19" s="646"/>
      <c r="C19" s="646"/>
      <c r="D19" s="646"/>
      <c r="E19" s="646"/>
      <c r="F19" s="646"/>
      <c r="G19" s="646"/>
      <c r="H19" s="646"/>
      <c r="I19" s="646"/>
      <c r="J19" s="646"/>
      <c r="K19" s="651"/>
      <c r="L19" s="651"/>
      <c r="M19" s="657"/>
      <c r="N19" s="651"/>
    </row>
    <row r="20" spans="2:16" ht="19.5" x14ac:dyDescent="0.3">
      <c r="B20" s="649" t="s">
        <v>470</v>
      </c>
      <c r="C20" s="646"/>
      <c r="D20" s="646"/>
      <c r="E20" s="659" t="s">
        <v>181</v>
      </c>
      <c r="F20" s="659"/>
      <c r="G20" s="659"/>
      <c r="H20" s="659"/>
      <c r="I20" s="659"/>
      <c r="J20" s="659"/>
      <c r="K20" s="659"/>
      <c r="L20" s="659"/>
      <c r="M20" s="660"/>
      <c r="N20" s="659"/>
    </row>
    <row r="21" spans="2:16" ht="16.5" x14ac:dyDescent="0.3">
      <c r="B21" s="661" t="s">
        <v>63</v>
      </c>
      <c r="C21" s="662">
        <v>3561.6973419999999</v>
      </c>
      <c r="D21" s="662">
        <v>3586.8910390000001</v>
      </c>
      <c r="E21" s="662">
        <v>3888.9745039999998</v>
      </c>
      <c r="F21" s="662">
        <v>4064.2339860000002</v>
      </c>
      <c r="G21" s="662">
        <v>3779.8510980000001</v>
      </c>
      <c r="H21" s="662">
        <v>3865.9960590000001</v>
      </c>
      <c r="I21" s="662">
        <v>4110.370457</v>
      </c>
      <c r="J21" s="662">
        <v>4326.7381299999997</v>
      </c>
      <c r="K21" s="662">
        <v>4494.4756909999996</v>
      </c>
      <c r="L21" s="662">
        <v>4729.2096068473256</v>
      </c>
      <c r="M21" s="663">
        <v>4944.4027484886201</v>
      </c>
      <c r="N21" s="662">
        <v>4935.617174</v>
      </c>
    </row>
    <row r="22" spans="2:16" ht="16.5" x14ac:dyDescent="0.3">
      <c r="B22" s="647" t="s">
        <v>61</v>
      </c>
      <c r="C22" s="648">
        <v>5053.4596650000003</v>
      </c>
      <c r="D22" s="648">
        <v>5079.3462030000001</v>
      </c>
      <c r="E22" s="648">
        <v>5381.5716510000002</v>
      </c>
      <c r="F22" s="648">
        <v>5557.3076840000003</v>
      </c>
      <c r="G22" s="648">
        <v>5273.5551919999998</v>
      </c>
      <c r="H22" s="648">
        <v>5360.4137840000003</v>
      </c>
      <c r="I22" s="648">
        <v>5604.9866160000001</v>
      </c>
      <c r="J22" s="648">
        <v>5921.8881970000002</v>
      </c>
      <c r="K22" s="648">
        <v>6085.0819289999999</v>
      </c>
      <c r="L22" s="648">
        <v>6486.9569688473248</v>
      </c>
      <c r="M22" s="655">
        <v>6698.9759459332199</v>
      </c>
      <c r="N22" s="648">
        <v>6708.1066760000003</v>
      </c>
    </row>
    <row r="23" spans="2:16" ht="16.5" x14ac:dyDescent="0.3">
      <c r="B23" s="647" t="s">
        <v>62</v>
      </c>
      <c r="C23" s="648">
        <v>31109.188495090908</v>
      </c>
      <c r="D23" s="648">
        <v>30466.186851000002</v>
      </c>
      <c r="E23" s="648">
        <v>31996.763878000002</v>
      </c>
      <c r="F23" s="648">
        <v>31178.187938999999</v>
      </c>
      <c r="G23" s="648">
        <v>31082.554315000001</v>
      </c>
      <c r="H23" s="648">
        <v>31336.371346</v>
      </c>
      <c r="I23" s="648">
        <v>31926.632594999999</v>
      </c>
      <c r="J23" s="648">
        <v>32557.058400999998</v>
      </c>
      <c r="K23" s="648">
        <v>32856.039396618675</v>
      </c>
      <c r="L23" s="648">
        <v>33355.959430999996</v>
      </c>
      <c r="M23" s="655">
        <v>33614.364662787899</v>
      </c>
      <c r="N23" s="648">
        <v>33633.43932243</v>
      </c>
      <c r="P23" s="764"/>
    </row>
    <row r="24" spans="2:16" ht="16.5" x14ac:dyDescent="0.3">
      <c r="B24" s="649" t="s">
        <v>65</v>
      </c>
      <c r="C24" s="650">
        <v>0.11449020415823585</v>
      </c>
      <c r="D24" s="650">
        <v>0.11773350752893011</v>
      </c>
      <c r="E24" s="650">
        <v>0.12154274472344186</v>
      </c>
      <c r="F24" s="650">
        <v>0.13035504160638386</v>
      </c>
      <c r="G24" s="650">
        <v>0.12160683641678371</v>
      </c>
      <c r="H24" s="650">
        <v>0.12337089117031681</v>
      </c>
      <c r="I24" s="650">
        <v>0.12874425277295676</v>
      </c>
      <c r="J24" s="650">
        <v>0.13289708415017934</v>
      </c>
      <c r="K24" s="650">
        <v>0.13679298459395386</v>
      </c>
      <c r="L24" s="650">
        <v>0.14178005032744298</v>
      </c>
      <c r="M24" s="656">
        <v>0.14709195899103877</v>
      </c>
      <c r="N24" s="650">
        <v>0.14674732270715049</v>
      </c>
    </row>
    <row r="25" spans="2:16" ht="16.5" x14ac:dyDescent="0.3">
      <c r="B25" s="649" t="s">
        <v>66</v>
      </c>
      <c r="C25" s="650">
        <v>0.16244267078189603</v>
      </c>
      <c r="D25" s="650">
        <v>0.16672077237106811</v>
      </c>
      <c r="E25" s="650">
        <v>0.16819112306229833</v>
      </c>
      <c r="F25" s="650">
        <v>0.17824344682483956</v>
      </c>
      <c r="G25" s="650">
        <v>0.16966286420852666</v>
      </c>
      <c r="H25" s="650">
        <v>0.17106045000593989</v>
      </c>
      <c r="I25" s="650">
        <v>0.1755583398694478</v>
      </c>
      <c r="J25" s="650">
        <v>0.18189260602297253</v>
      </c>
      <c r="K25" s="650">
        <v>0.18520436549105904</v>
      </c>
      <c r="L25" s="650">
        <v>0.19447670160009092</v>
      </c>
      <c r="M25" s="656">
        <v>0.19928908409056398</v>
      </c>
      <c r="N25" s="650">
        <v>0.19944753825774791</v>
      </c>
    </row>
    <row r="26" spans="2:16" ht="15.75" x14ac:dyDescent="0.3">
      <c r="B26" s="646"/>
      <c r="C26" s="646"/>
      <c r="D26" s="646"/>
      <c r="E26" s="646"/>
      <c r="F26" s="646"/>
      <c r="G26" s="646"/>
      <c r="H26" s="646"/>
      <c r="I26" s="646"/>
      <c r="J26" s="646"/>
      <c r="K26" s="646"/>
      <c r="L26" s="646"/>
      <c r="M26" s="653"/>
      <c r="N26" s="646"/>
    </row>
    <row r="27" spans="2:16" ht="15.75" x14ac:dyDescent="0.3">
      <c r="B27" s="646"/>
      <c r="C27" s="646"/>
      <c r="D27" s="646"/>
      <c r="E27" s="646"/>
      <c r="F27" s="646"/>
      <c r="G27" s="646"/>
      <c r="H27" s="646"/>
      <c r="I27" s="646"/>
      <c r="J27" s="646"/>
      <c r="K27" s="646"/>
      <c r="L27" s="646"/>
      <c r="M27" s="653"/>
      <c r="N27" s="646"/>
    </row>
    <row r="28" spans="2:16" ht="23.45" customHeight="1" x14ac:dyDescent="0.25">
      <c r="B28" s="664" t="s">
        <v>315</v>
      </c>
      <c r="C28" s="652"/>
      <c r="D28" s="652"/>
      <c r="E28" s="652"/>
      <c r="F28" s="652"/>
      <c r="G28" s="652"/>
      <c r="H28" s="652"/>
      <c r="I28" s="652"/>
      <c r="J28" s="652"/>
      <c r="K28" s="652"/>
      <c r="L28" s="652"/>
      <c r="M28" s="654"/>
      <c r="N28" s="652"/>
    </row>
    <row r="29" spans="2:16" ht="16.5" x14ac:dyDescent="0.3">
      <c r="B29" s="665" t="s">
        <v>54</v>
      </c>
      <c r="C29" s="666"/>
      <c r="D29" s="666"/>
      <c r="E29" s="666"/>
      <c r="F29" s="666"/>
      <c r="G29" s="666"/>
      <c r="H29" s="666"/>
      <c r="I29" s="666"/>
      <c r="J29" s="666"/>
      <c r="K29" s="666"/>
      <c r="L29" s="666"/>
      <c r="M29" s="667"/>
      <c r="N29" s="666"/>
    </row>
    <row r="30" spans="2:16" ht="16.5" x14ac:dyDescent="0.3">
      <c r="B30" s="647" t="s">
        <v>63</v>
      </c>
      <c r="C30" s="648">
        <v>3050.6074239999998</v>
      </c>
      <c r="D30" s="648">
        <v>2954.5648000000001</v>
      </c>
      <c r="E30" s="648">
        <v>3269.5634300000002</v>
      </c>
      <c r="F30" s="648">
        <v>3544.5996759999998</v>
      </c>
      <c r="G30" s="648">
        <v>3779.8510980000001</v>
      </c>
      <c r="H30" s="648">
        <v>3865.9960590000001</v>
      </c>
      <c r="I30" s="648">
        <v>4110.370457</v>
      </c>
      <c r="J30" s="648">
        <v>4326.7381299999997</v>
      </c>
      <c r="K30" s="648">
        <v>4494.4756909999996</v>
      </c>
      <c r="L30" s="648">
        <v>4729.2096068473256</v>
      </c>
      <c r="M30" s="655">
        <v>4944.4027484886201</v>
      </c>
      <c r="N30" s="648">
        <v>4935.617174</v>
      </c>
    </row>
    <row r="31" spans="2:16" ht="16.5" x14ac:dyDescent="0.3">
      <c r="B31" s="647" t="s">
        <v>61</v>
      </c>
      <c r="C31" s="648">
        <v>4542.3697469999997</v>
      </c>
      <c r="D31" s="648">
        <v>4447.0199640000001</v>
      </c>
      <c r="E31" s="648">
        <v>4762.1605769999996</v>
      </c>
      <c r="F31" s="648">
        <v>5037.673374</v>
      </c>
      <c r="G31" s="648">
        <v>5273.5551919999998</v>
      </c>
      <c r="H31" s="648">
        <v>5360.4137840000003</v>
      </c>
      <c r="I31" s="648">
        <v>5604.9866160000001</v>
      </c>
      <c r="J31" s="648">
        <v>5821.8881970000002</v>
      </c>
      <c r="K31" s="648">
        <v>6085.0819289999999</v>
      </c>
      <c r="L31" s="648">
        <v>6336.9569688473248</v>
      </c>
      <c r="M31" s="655">
        <v>6698.9759459332199</v>
      </c>
      <c r="N31" s="648">
        <v>6708.1066760000003</v>
      </c>
    </row>
    <row r="32" spans="2:16" ht="16.5" x14ac:dyDescent="0.3">
      <c r="B32" s="647" t="s">
        <v>62</v>
      </c>
      <c r="C32" s="648">
        <v>31217.726039000001</v>
      </c>
      <c r="D32" s="648">
        <v>31084.085474</v>
      </c>
      <c r="E32" s="648">
        <v>31434.699799000002</v>
      </c>
      <c r="F32" s="648">
        <v>30722.611790999999</v>
      </c>
      <c r="G32" s="648">
        <v>31082.554315000001</v>
      </c>
      <c r="H32" s="648">
        <v>31617.013011999999</v>
      </c>
      <c r="I32" s="648">
        <v>32172.703530999999</v>
      </c>
      <c r="J32" s="648">
        <v>32765.057611</v>
      </c>
      <c r="K32" s="648">
        <v>33051.265322618674</v>
      </c>
      <c r="L32" s="648">
        <v>34143.051293999997</v>
      </c>
      <c r="M32" s="655">
        <v>33708.738581787897</v>
      </c>
      <c r="N32" s="648">
        <v>34098.476318000001</v>
      </c>
    </row>
    <row r="33" spans="2:16" ht="16.5" x14ac:dyDescent="0.3">
      <c r="B33" s="649" t="s">
        <v>65</v>
      </c>
      <c r="C33" s="650">
        <v>9.7720359906705107E-2</v>
      </c>
      <c r="D33" s="650">
        <v>9.5050723061205031E-2</v>
      </c>
      <c r="E33" s="650">
        <v>0.10401128214699894</v>
      </c>
      <c r="F33" s="650">
        <v>0.11537429500178004</v>
      </c>
      <c r="G33" s="650">
        <v>0.12160683641678371</v>
      </c>
      <c r="H33" s="650">
        <v>0.12227581579362637</v>
      </c>
      <c r="I33" s="650">
        <v>0.12775956030675054</v>
      </c>
      <c r="J33" s="650">
        <v>0.13205342659148606</v>
      </c>
      <c r="K33" s="650">
        <v>0.13598498112337623</v>
      </c>
      <c r="L33" s="650">
        <v>0.13851162762592328</v>
      </c>
      <c r="M33" s="656">
        <v>0.14668014753776559</v>
      </c>
      <c r="N33" s="650">
        <v>0.14474597421804952</v>
      </c>
    </row>
    <row r="34" spans="2:16" ht="16.5" x14ac:dyDescent="0.3">
      <c r="B34" s="649" t="s">
        <v>66</v>
      </c>
      <c r="C34" s="650">
        <v>0.14550610577225456</v>
      </c>
      <c r="D34" s="650">
        <v>0.14306420459819125</v>
      </c>
      <c r="E34" s="650">
        <v>0.15149375077383412</v>
      </c>
      <c r="F34" s="650">
        <v>0.16397282263208349</v>
      </c>
      <c r="G34" s="650">
        <v>0.16966286420852666</v>
      </c>
      <c r="H34" s="650">
        <v>0.16954206844161704</v>
      </c>
      <c r="I34" s="650">
        <v>0.17421559274927942</v>
      </c>
      <c r="J34" s="650">
        <v>0.17768588311730774</v>
      </c>
      <c r="K34" s="650">
        <v>0.18411040756238964</v>
      </c>
      <c r="L34" s="650">
        <v>0.18560019473013317</v>
      </c>
      <c r="M34" s="656">
        <v>0.1987311370219155</v>
      </c>
      <c r="N34" s="650">
        <v>0.19672746117570378</v>
      </c>
    </row>
    <row r="35" spans="2:16" ht="15.75" x14ac:dyDescent="0.3">
      <c r="B35" s="646"/>
      <c r="C35" s="646"/>
      <c r="D35" s="646"/>
      <c r="E35" s="646"/>
      <c r="F35" s="646"/>
      <c r="G35" s="646"/>
      <c r="H35" s="646"/>
      <c r="I35" s="646"/>
      <c r="J35" s="646"/>
      <c r="K35" s="646"/>
      <c r="L35" s="646"/>
      <c r="M35" s="653"/>
      <c r="N35" s="646"/>
    </row>
    <row r="36" spans="2:16" ht="19.5" x14ac:dyDescent="0.3">
      <c r="B36" s="649" t="s">
        <v>470</v>
      </c>
      <c r="C36" s="646"/>
      <c r="D36" s="646"/>
      <c r="E36" s="659" t="s">
        <v>181</v>
      </c>
      <c r="F36" s="659"/>
      <c r="G36" s="659"/>
      <c r="H36" s="659"/>
      <c r="I36" s="659"/>
      <c r="J36" s="659"/>
      <c r="K36" s="659"/>
      <c r="L36" s="659"/>
      <c r="M36" s="660"/>
      <c r="N36" s="659"/>
    </row>
    <row r="37" spans="2:16" ht="16.5" x14ac:dyDescent="0.3">
      <c r="B37" s="661" t="s">
        <v>63</v>
      </c>
      <c r="C37" s="662">
        <v>3050.6074239999998</v>
      </c>
      <c r="D37" s="662">
        <v>3067.3692050000004</v>
      </c>
      <c r="E37" s="662">
        <v>3366.0479930000001</v>
      </c>
      <c r="F37" s="662">
        <v>3544.5996759999998</v>
      </c>
      <c r="G37" s="662">
        <v>3779.8510980000001</v>
      </c>
      <c r="H37" s="662">
        <v>3865.9960590000001</v>
      </c>
      <c r="I37" s="662">
        <v>4110.370457</v>
      </c>
      <c r="J37" s="662">
        <v>4326.7381299999997</v>
      </c>
      <c r="K37" s="662">
        <v>4494.4756909999996</v>
      </c>
      <c r="L37" s="662">
        <v>4729.2096068473256</v>
      </c>
      <c r="M37" s="663">
        <v>4944.4027484886201</v>
      </c>
      <c r="N37" s="662">
        <v>4935.617174</v>
      </c>
    </row>
    <row r="38" spans="2:16" ht="16.5" x14ac:dyDescent="0.3">
      <c r="B38" s="647" t="s">
        <v>61</v>
      </c>
      <c r="C38" s="648">
        <v>4542.3697469999997</v>
      </c>
      <c r="D38" s="648">
        <v>4559.8243689999999</v>
      </c>
      <c r="E38" s="648">
        <v>4858.6451399999996</v>
      </c>
      <c r="F38" s="648">
        <v>5037.673374</v>
      </c>
      <c r="G38" s="648">
        <v>5273.5551919999998</v>
      </c>
      <c r="H38" s="648">
        <v>5360.4137840000003</v>
      </c>
      <c r="I38" s="648">
        <v>5604.9866160000001</v>
      </c>
      <c r="J38" s="648">
        <v>5921.8881970000002</v>
      </c>
      <c r="K38" s="648">
        <v>6085.0819289999999</v>
      </c>
      <c r="L38" s="648">
        <v>6486.9569688473248</v>
      </c>
      <c r="M38" s="655">
        <v>6698.9759459332199</v>
      </c>
      <c r="N38" s="648">
        <v>6708.1066760000003</v>
      </c>
    </row>
    <row r="39" spans="2:16" ht="16.5" x14ac:dyDescent="0.3">
      <c r="B39" s="647" t="s">
        <v>62</v>
      </c>
      <c r="C39" s="648">
        <v>30656.816948090909</v>
      </c>
      <c r="D39" s="648">
        <v>30010.652888000001</v>
      </c>
      <c r="E39" s="648">
        <v>31539.952979999998</v>
      </c>
      <c r="F39" s="648">
        <v>30503.445551000001</v>
      </c>
      <c r="G39" s="648">
        <v>31082.554315000001</v>
      </c>
      <c r="H39" s="648">
        <v>31336.371346</v>
      </c>
      <c r="I39" s="648">
        <v>31926.632594999999</v>
      </c>
      <c r="J39" s="648">
        <v>32557.058400999998</v>
      </c>
      <c r="K39" s="648">
        <v>32856.039396618675</v>
      </c>
      <c r="L39" s="648">
        <v>33355.959430999996</v>
      </c>
      <c r="M39" s="655">
        <v>33614.364662787899</v>
      </c>
      <c r="N39" s="648">
        <v>33633.43932243</v>
      </c>
    </row>
    <row r="40" spans="2:16" ht="16.5" x14ac:dyDescent="0.3">
      <c r="B40" s="649" t="s">
        <v>65</v>
      </c>
      <c r="C40" s="650">
        <v>9.9508289760329147E-2</v>
      </c>
      <c r="D40" s="650">
        <v>0.10220934600948027</v>
      </c>
      <c r="E40" s="650">
        <v>0.10672330409415849</v>
      </c>
      <c r="F40" s="650">
        <v>0.11620325546744002</v>
      </c>
      <c r="G40" s="650">
        <v>0.12160683641678371</v>
      </c>
      <c r="H40" s="650">
        <v>0.12337089117031681</v>
      </c>
      <c r="I40" s="650">
        <v>0.12874425277295676</v>
      </c>
      <c r="J40" s="650">
        <v>0.13289708415017934</v>
      </c>
      <c r="K40" s="650">
        <v>0.13679298459395386</v>
      </c>
      <c r="L40" s="650">
        <v>0.14178005032744298</v>
      </c>
      <c r="M40" s="656">
        <v>0.14709195899103877</v>
      </c>
      <c r="N40" s="650">
        <v>0.14674732270715049</v>
      </c>
    </row>
    <row r="41" spans="2:16" ht="16.5" x14ac:dyDescent="0.3">
      <c r="B41" s="649" t="s">
        <v>66</v>
      </c>
      <c r="C41" s="650">
        <v>0.14816834228717493</v>
      </c>
      <c r="D41" s="650">
        <v>0.1519401922383129</v>
      </c>
      <c r="E41" s="650">
        <v>0.1540473171624874</v>
      </c>
      <c r="F41" s="650">
        <v>0.16515096189960904</v>
      </c>
      <c r="G41" s="650">
        <v>0.16966286420852666</v>
      </c>
      <c r="H41" s="650">
        <v>0.17106045000593989</v>
      </c>
      <c r="I41" s="650">
        <v>0.1755583398694478</v>
      </c>
      <c r="J41" s="650">
        <v>0.18189260602297253</v>
      </c>
      <c r="K41" s="650">
        <v>0.18520436549105904</v>
      </c>
      <c r="L41" s="650">
        <v>0.19447670160009092</v>
      </c>
      <c r="M41" s="656">
        <v>0.19928908409056398</v>
      </c>
      <c r="N41" s="650">
        <v>0.19944753825774791</v>
      </c>
    </row>
    <row r="42" spans="2:16" ht="16.5" x14ac:dyDescent="0.3">
      <c r="B42" s="644"/>
      <c r="C42" s="644"/>
      <c r="D42" s="644"/>
      <c r="E42" s="644"/>
      <c r="F42" s="644"/>
      <c r="G42" s="644"/>
      <c r="H42" s="644"/>
      <c r="I42" s="644"/>
      <c r="J42" s="650"/>
      <c r="K42" s="644"/>
      <c r="L42" s="644"/>
      <c r="M42" s="658"/>
      <c r="N42" s="644"/>
    </row>
    <row r="43" spans="2:16" ht="16.5" x14ac:dyDescent="0.3">
      <c r="B43" s="644"/>
      <c r="C43" s="644"/>
      <c r="D43" s="644"/>
      <c r="E43" s="644"/>
      <c r="F43" s="644"/>
      <c r="G43" s="644"/>
      <c r="H43" s="644"/>
      <c r="I43" s="644"/>
      <c r="J43" s="650"/>
      <c r="K43" s="644"/>
      <c r="L43" s="644"/>
      <c r="M43" s="658"/>
      <c r="N43" s="644"/>
    </row>
    <row r="44" spans="2:16" ht="22.9" customHeight="1" x14ac:dyDescent="0.25">
      <c r="B44" s="664" t="s">
        <v>510</v>
      </c>
      <c r="C44" s="652"/>
      <c r="D44" s="652"/>
      <c r="E44" s="652"/>
      <c r="F44" s="652"/>
      <c r="G44" s="652"/>
      <c r="H44" s="652"/>
      <c r="I44" s="652"/>
      <c r="J44" s="652"/>
      <c r="K44" s="652"/>
      <c r="L44" s="652"/>
      <c r="M44" s="654"/>
      <c r="N44" s="652"/>
    </row>
    <row r="45" spans="2:16" ht="16.5" x14ac:dyDescent="0.3">
      <c r="B45" s="665"/>
      <c r="C45" s="666"/>
      <c r="D45" s="666"/>
      <c r="E45" s="666"/>
      <c r="F45" s="666"/>
      <c r="G45" s="666"/>
      <c r="H45" s="666"/>
      <c r="I45" s="666"/>
      <c r="J45" s="666"/>
      <c r="K45" s="666"/>
      <c r="L45" s="666"/>
      <c r="M45" s="667"/>
      <c r="N45" s="666"/>
    </row>
    <row r="46" spans="2:16" ht="16.5" x14ac:dyDescent="0.3">
      <c r="B46" s="647" t="s">
        <v>61</v>
      </c>
      <c r="C46" s="648">
        <v>5185</v>
      </c>
      <c r="D46" s="648">
        <v>5086.3608839999997</v>
      </c>
      <c r="E46" s="648">
        <v>5233.8998570000003</v>
      </c>
      <c r="F46" s="648">
        <v>5000.533805</v>
      </c>
      <c r="G46" s="648">
        <v>5225.0679479999999</v>
      </c>
      <c r="H46" s="648">
        <v>5320.1079710000004</v>
      </c>
      <c r="I46" s="648">
        <v>5575.7808599999998</v>
      </c>
      <c r="J46" s="648">
        <v>5900.8378039999998</v>
      </c>
      <c r="K46" s="648">
        <v>6103.9310939999996</v>
      </c>
      <c r="L46" s="648">
        <v>6493.4118959999996</v>
      </c>
      <c r="M46" s="655">
        <v>6747.104557556866</v>
      </c>
      <c r="N46" s="648">
        <v>6762.6010619999997</v>
      </c>
    </row>
    <row r="47" spans="2:16" ht="16.5" x14ac:dyDescent="0.3">
      <c r="B47" s="647" t="s">
        <v>362</v>
      </c>
      <c r="C47" s="648">
        <v>585.548</v>
      </c>
      <c r="D47" s="648">
        <v>579.875</v>
      </c>
      <c r="E47" s="648">
        <v>577.13838399999997</v>
      </c>
      <c r="F47" s="648">
        <v>924.06571099999996</v>
      </c>
      <c r="G47" s="648">
        <v>921.37388099999998</v>
      </c>
      <c r="H47" s="648">
        <v>1418.2159300000001</v>
      </c>
      <c r="I47" s="648">
        <v>1415.4900692599999</v>
      </c>
      <c r="J47" s="648">
        <v>1911.4548856900001</v>
      </c>
      <c r="K47" s="648">
        <v>2408.6541706799999</v>
      </c>
      <c r="L47" s="648">
        <v>3055.8562978</v>
      </c>
      <c r="M47" s="655">
        <v>3053.05333638</v>
      </c>
      <c r="N47" s="648">
        <v>3050.23404858</v>
      </c>
    </row>
    <row r="48" spans="2:16" ht="16.5" x14ac:dyDescent="0.3">
      <c r="B48" s="647" t="s">
        <v>62</v>
      </c>
      <c r="C48" s="648">
        <v>31648</v>
      </c>
      <c r="D48" s="648">
        <v>31517</v>
      </c>
      <c r="E48" s="648">
        <v>31699.459964999998</v>
      </c>
      <c r="F48" s="648">
        <v>30588.367203000002</v>
      </c>
      <c r="G48" s="648">
        <v>30907.121765</v>
      </c>
      <c r="H48" s="648">
        <v>31154.769199999999</v>
      </c>
      <c r="I48" s="648">
        <v>32044.982413999998</v>
      </c>
      <c r="J48" s="648">
        <v>32441.083143999997</v>
      </c>
      <c r="K48" s="648">
        <v>32764.578960577099</v>
      </c>
      <c r="L48" s="648">
        <v>33264.057677999997</v>
      </c>
      <c r="M48" s="655">
        <v>33643.005104000003</v>
      </c>
      <c r="N48" s="648">
        <v>33624.28539243</v>
      </c>
      <c r="P48" s="764"/>
    </row>
    <row r="49" spans="2:14" ht="16.5" x14ac:dyDescent="0.3">
      <c r="B49" s="649" t="s">
        <v>361</v>
      </c>
      <c r="C49" s="650">
        <v>0.18233531344792719</v>
      </c>
      <c r="D49" s="650">
        <v>0.1797834782498334</v>
      </c>
      <c r="E49" s="650">
        <v>0.18331663212610191</v>
      </c>
      <c r="F49" s="650">
        <v>0.19368799506954185</v>
      </c>
      <c r="G49" s="650">
        <v>0.19886814035075842</v>
      </c>
      <c r="H49" s="650">
        <v>0.21628547005894688</v>
      </c>
      <c r="I49" s="650">
        <v>0.21817053412410714</v>
      </c>
      <c r="J49" s="650">
        <v>0.24081479200348122</v>
      </c>
      <c r="K49" s="650">
        <v>0.25981061056583354</v>
      </c>
      <c r="L49" s="650">
        <v>0.28707466437913387</v>
      </c>
      <c r="M49" s="656">
        <v>0.29129852888116914</v>
      </c>
      <c r="N49" s="650">
        <v>0.29183772966634441</v>
      </c>
    </row>
    <row r="50" spans="2:14" ht="16.5" x14ac:dyDescent="0.3">
      <c r="B50" s="649"/>
      <c r="C50" s="650"/>
      <c r="D50" s="650"/>
      <c r="E50" s="650"/>
      <c r="F50" s="650"/>
      <c r="G50" s="650"/>
      <c r="H50" s="650"/>
      <c r="I50" s="650"/>
      <c r="J50" s="650"/>
      <c r="K50" s="650"/>
      <c r="L50" s="650"/>
      <c r="M50" s="650"/>
      <c r="N50" s="650"/>
    </row>
    <row r="51" spans="2:14" ht="29.25" customHeight="1" x14ac:dyDescent="0.3">
      <c r="B51" s="953" t="s">
        <v>67</v>
      </c>
      <c r="C51" s="952"/>
      <c r="D51" s="952"/>
      <c r="E51" s="952"/>
      <c r="F51" s="952"/>
      <c r="G51" s="952"/>
      <c r="H51" s="952"/>
      <c r="I51" s="952"/>
      <c r="J51" s="952"/>
      <c r="K51" s="952"/>
      <c r="L51" s="952"/>
      <c r="M51" s="952"/>
      <c r="N51" s="952"/>
    </row>
    <row r="52" spans="2:14" ht="182.25" customHeight="1" x14ac:dyDescent="0.3">
      <c r="B52" s="951" t="s">
        <v>604</v>
      </c>
      <c r="C52" s="952"/>
      <c r="D52" s="952"/>
      <c r="E52" s="952"/>
      <c r="F52" s="952"/>
      <c r="G52" s="952"/>
      <c r="H52" s="952"/>
      <c r="I52" s="952"/>
      <c r="J52" s="952"/>
      <c r="K52" s="952"/>
      <c r="L52" s="952"/>
      <c r="M52" s="952"/>
      <c r="N52" s="952"/>
    </row>
    <row r="53" spans="2:14" ht="12.75" customHeight="1" x14ac:dyDescent="0.3">
      <c r="B53" s="951"/>
      <c r="C53" s="952"/>
      <c r="D53" s="952"/>
      <c r="E53" s="952"/>
      <c r="F53" s="952"/>
      <c r="G53" s="952"/>
      <c r="H53" s="952"/>
      <c r="I53" s="952"/>
      <c r="J53" s="952"/>
      <c r="K53" s="952"/>
      <c r="L53" s="952"/>
      <c r="M53" s="952"/>
      <c r="N53" s="952"/>
    </row>
  </sheetData>
  <mergeCells count="4">
    <mergeCell ref="B5:N5"/>
    <mergeCell ref="B52:N52"/>
    <mergeCell ref="B51:N51"/>
    <mergeCell ref="B53:N53"/>
  </mergeCells>
  <hyperlinks>
    <hyperlink ref="N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Q29"/>
  <sheetViews>
    <sheetView showGridLines="0" view="pageBreakPreview" zoomScale="80" zoomScaleNormal="85" zoomScaleSheetLayoutView="80" workbookViewId="0">
      <selection activeCell="B10" sqref="B10"/>
    </sheetView>
  </sheetViews>
  <sheetFormatPr defaultColWidth="9.140625" defaultRowHeight="15" customHeight="1" x14ac:dyDescent="0.2"/>
  <cols>
    <col min="1" max="1" width="2.42578125" style="20" customWidth="1"/>
    <col min="2" max="2" width="35.28515625" style="20" customWidth="1"/>
    <col min="3" max="3" width="33.85546875" style="22" customWidth="1"/>
    <col min="4" max="4" width="19.140625" style="22" customWidth="1"/>
    <col min="5" max="5" width="21.85546875" style="106" customWidth="1"/>
    <col min="6" max="6" width="17.42578125" style="106" customWidth="1"/>
    <col min="7" max="7" width="17" style="106" customWidth="1"/>
    <col min="8" max="8" width="15.28515625" style="106" customWidth="1"/>
    <col min="9" max="9" width="16" style="106" customWidth="1"/>
    <col min="10" max="10" width="15.28515625" style="106" customWidth="1"/>
    <col min="11" max="11" width="17.28515625" style="106" customWidth="1"/>
    <col min="12" max="12" width="22.7109375" style="22" customWidth="1"/>
    <col min="13" max="13" width="2.42578125" style="20" customWidth="1"/>
    <col min="14" max="16384" width="9.140625" style="20"/>
  </cols>
  <sheetData>
    <row r="1" spans="1:17" s="23" customFormat="1" ht="15.75" customHeight="1" x14ac:dyDescent="0.35">
      <c r="B1" s="576"/>
      <c r="C1" s="576"/>
      <c r="D1" s="576"/>
      <c r="E1" s="669"/>
      <c r="F1" s="669"/>
      <c r="G1" s="669"/>
      <c r="H1" s="669"/>
      <c r="I1" s="669"/>
      <c r="J1" s="669"/>
      <c r="K1" s="669"/>
      <c r="L1" s="576"/>
    </row>
    <row r="2" spans="1:17" s="23" customFormat="1" ht="15.75" customHeight="1" x14ac:dyDescent="0.35">
      <c r="B2" s="576"/>
      <c r="C2" s="601"/>
      <c r="D2" s="601"/>
      <c r="E2" s="670"/>
      <c r="F2" s="670"/>
      <c r="G2" s="670"/>
      <c r="H2" s="670"/>
      <c r="I2" s="670"/>
      <c r="J2" s="670"/>
      <c r="K2" s="670"/>
      <c r="L2" s="577" t="s">
        <v>20</v>
      </c>
    </row>
    <row r="3" spans="1:17" s="23" customFormat="1" ht="15.75" customHeight="1" x14ac:dyDescent="0.35">
      <c r="B3" s="576"/>
      <c r="C3" s="576"/>
      <c r="D3" s="576"/>
      <c r="E3" s="669"/>
      <c r="F3" s="669"/>
      <c r="G3" s="669"/>
      <c r="H3" s="669"/>
      <c r="I3" s="669"/>
      <c r="J3" s="669"/>
      <c r="K3" s="669"/>
      <c r="L3" s="576"/>
    </row>
    <row r="4" spans="1:17" s="24" customFormat="1" ht="15.75" customHeight="1" x14ac:dyDescent="0.3">
      <c r="B4" s="578"/>
      <c r="C4" s="578"/>
      <c r="D4" s="578"/>
      <c r="E4" s="671"/>
      <c r="F4" s="671"/>
      <c r="G4" s="671"/>
      <c r="H4" s="671"/>
      <c r="I4" s="671"/>
      <c r="J4" s="671"/>
      <c r="K4" s="671"/>
      <c r="L4" s="578"/>
    </row>
    <row r="5" spans="1:17" ht="28.5" x14ac:dyDescent="0.2">
      <c r="A5" s="16"/>
      <c r="B5" s="937" t="s">
        <v>506</v>
      </c>
      <c r="C5" s="937"/>
      <c r="D5" s="937"/>
      <c r="E5" s="937"/>
      <c r="F5" s="937"/>
      <c r="G5" s="937"/>
      <c r="H5" s="937"/>
      <c r="I5" s="937"/>
      <c r="J5" s="937"/>
      <c r="K5" s="937"/>
      <c r="L5" s="937"/>
    </row>
    <row r="6" spans="1:17" ht="9" customHeight="1" x14ac:dyDescent="0.2">
      <c r="A6" s="16"/>
      <c r="B6" s="127"/>
      <c r="C6" s="127"/>
      <c r="D6" s="127"/>
      <c r="E6" s="127"/>
      <c r="F6" s="127"/>
      <c r="G6" s="127"/>
      <c r="H6" s="127"/>
      <c r="I6" s="127"/>
      <c r="J6" s="127"/>
      <c r="K6" s="127"/>
      <c r="L6" s="127"/>
    </row>
    <row r="7" spans="1:17" ht="11.25" customHeight="1" x14ac:dyDescent="0.2">
      <c r="A7" s="18"/>
      <c r="B7" s="533"/>
      <c r="C7" s="533"/>
      <c r="D7" s="533"/>
      <c r="E7" s="533"/>
      <c r="F7" s="533"/>
      <c r="G7" s="533"/>
      <c r="H7" s="533"/>
      <c r="I7" s="533"/>
      <c r="J7" s="533"/>
      <c r="K7" s="533"/>
      <c r="L7" s="533"/>
    </row>
    <row r="8" spans="1:17" s="23" customFormat="1" ht="11.25" customHeight="1" x14ac:dyDescent="0.35">
      <c r="B8" s="576"/>
      <c r="C8" s="579"/>
      <c r="D8" s="579"/>
      <c r="E8" s="579"/>
      <c r="F8" s="579"/>
      <c r="G8" s="579"/>
      <c r="H8" s="579"/>
      <c r="I8" s="579"/>
      <c r="J8" s="579"/>
      <c r="K8" s="579"/>
      <c r="L8" s="579"/>
    </row>
    <row r="9" spans="1:17" s="23" customFormat="1" ht="34.5" customHeight="1" x14ac:dyDescent="0.25">
      <c r="B9" s="672"/>
      <c r="C9" s="673" t="s">
        <v>363</v>
      </c>
      <c r="D9" s="673" t="s">
        <v>364</v>
      </c>
      <c r="E9" s="673" t="s">
        <v>365</v>
      </c>
      <c r="F9" s="673" t="s">
        <v>366</v>
      </c>
      <c r="G9" s="673" t="s">
        <v>367</v>
      </c>
      <c r="H9" s="673" t="s">
        <v>368</v>
      </c>
      <c r="I9" s="673" t="s">
        <v>369</v>
      </c>
      <c r="J9" s="673" t="s">
        <v>370</v>
      </c>
      <c r="K9" s="673" t="s">
        <v>371</v>
      </c>
      <c r="L9" s="674" t="s">
        <v>372</v>
      </c>
      <c r="Q9" s="69"/>
    </row>
    <row r="10" spans="1:17" s="23" customFormat="1" ht="32.25" customHeight="1" x14ac:dyDescent="0.25">
      <c r="B10" s="822" t="s">
        <v>535</v>
      </c>
      <c r="C10" s="820"/>
      <c r="D10" s="820"/>
      <c r="E10" s="820"/>
      <c r="F10" s="820"/>
      <c r="G10" s="820"/>
      <c r="H10" s="820"/>
      <c r="I10" s="820"/>
      <c r="J10" s="820"/>
      <c r="K10" s="820"/>
      <c r="L10" s="821"/>
      <c r="Q10" s="69"/>
    </row>
    <row r="11" spans="1:17" s="25" customFormat="1" ht="49.15" customHeight="1" x14ac:dyDescent="0.25">
      <c r="B11" s="825" t="s">
        <v>418</v>
      </c>
      <c r="C11" s="783" t="s">
        <v>373</v>
      </c>
      <c r="D11" s="783">
        <v>500000000</v>
      </c>
      <c r="E11" s="783" t="s">
        <v>374</v>
      </c>
      <c r="F11" s="783" t="s">
        <v>375</v>
      </c>
      <c r="G11" s="783" t="s">
        <v>376</v>
      </c>
      <c r="H11" s="783" t="s">
        <v>377</v>
      </c>
      <c r="I11" s="784" t="s">
        <v>378</v>
      </c>
      <c r="J11" s="783" t="s">
        <v>379</v>
      </c>
      <c r="K11" s="783" t="s">
        <v>380</v>
      </c>
      <c r="L11" s="785" t="s">
        <v>381</v>
      </c>
      <c r="Q11" s="70"/>
    </row>
    <row r="12" spans="1:17" s="25" customFormat="1" ht="49.15" customHeight="1" x14ac:dyDescent="0.25">
      <c r="B12" s="826" t="s">
        <v>419</v>
      </c>
      <c r="C12" s="786" t="s">
        <v>373</v>
      </c>
      <c r="D12" s="786">
        <v>350000000</v>
      </c>
      <c r="E12" s="786" t="s">
        <v>382</v>
      </c>
      <c r="F12" s="786" t="s">
        <v>383</v>
      </c>
      <c r="G12" s="786" t="s">
        <v>384</v>
      </c>
      <c r="H12" s="786" t="s">
        <v>385</v>
      </c>
      <c r="I12" s="786" t="s">
        <v>386</v>
      </c>
      <c r="J12" s="786" t="s">
        <v>379</v>
      </c>
      <c r="K12" s="786" t="s">
        <v>387</v>
      </c>
      <c r="L12" s="787" t="s">
        <v>381</v>
      </c>
      <c r="Q12" s="70"/>
    </row>
    <row r="13" spans="1:17" s="25" customFormat="1" ht="49.15" customHeight="1" x14ac:dyDescent="0.25">
      <c r="B13" s="827" t="s">
        <v>420</v>
      </c>
      <c r="C13" s="788" t="s">
        <v>373</v>
      </c>
      <c r="D13" s="789">
        <v>500000000</v>
      </c>
      <c r="E13" s="788" t="s">
        <v>388</v>
      </c>
      <c r="F13" s="788" t="s">
        <v>389</v>
      </c>
      <c r="G13" s="788" t="s">
        <v>390</v>
      </c>
      <c r="H13" s="788" t="s">
        <v>391</v>
      </c>
      <c r="I13" s="788" t="s">
        <v>392</v>
      </c>
      <c r="J13" s="788" t="s">
        <v>379</v>
      </c>
      <c r="K13" s="788" t="s">
        <v>393</v>
      </c>
      <c r="L13" s="790" t="s">
        <v>381</v>
      </c>
      <c r="Q13" s="70"/>
    </row>
    <row r="14" spans="1:17" s="25" customFormat="1" ht="49.15" customHeight="1" x14ac:dyDescent="0.25">
      <c r="B14" s="826" t="s">
        <v>421</v>
      </c>
      <c r="C14" s="786" t="s">
        <v>373</v>
      </c>
      <c r="D14" s="786">
        <v>500000000</v>
      </c>
      <c r="E14" s="786" t="s">
        <v>394</v>
      </c>
      <c r="F14" s="786" t="s">
        <v>395</v>
      </c>
      <c r="G14" s="786" t="s">
        <v>396</v>
      </c>
      <c r="H14" s="786" t="s">
        <v>397</v>
      </c>
      <c r="I14" s="786" t="s">
        <v>398</v>
      </c>
      <c r="J14" s="786" t="s">
        <v>379</v>
      </c>
      <c r="K14" s="786" t="s">
        <v>399</v>
      </c>
      <c r="L14" s="787" t="s">
        <v>381</v>
      </c>
      <c r="Q14" s="70"/>
    </row>
    <row r="15" spans="1:17" s="25" customFormat="1" ht="49.15" customHeight="1" x14ac:dyDescent="0.25">
      <c r="B15" s="828" t="s">
        <v>422</v>
      </c>
      <c r="C15" s="791" t="s">
        <v>373</v>
      </c>
      <c r="D15" s="791">
        <v>500000000</v>
      </c>
      <c r="E15" s="791" t="s">
        <v>401</v>
      </c>
      <c r="F15" s="791" t="s">
        <v>402</v>
      </c>
      <c r="G15" s="791" t="s">
        <v>403</v>
      </c>
      <c r="H15" s="791" t="s">
        <v>404</v>
      </c>
      <c r="I15" s="791" t="s">
        <v>405</v>
      </c>
      <c r="J15" s="791" t="s">
        <v>379</v>
      </c>
      <c r="K15" s="791" t="s">
        <v>406</v>
      </c>
      <c r="L15" s="792" t="s">
        <v>381</v>
      </c>
      <c r="Q15" s="70"/>
    </row>
    <row r="16" spans="1:17" s="25" customFormat="1" ht="46.5" customHeight="1" x14ac:dyDescent="0.25">
      <c r="B16" s="827" t="s">
        <v>497</v>
      </c>
      <c r="C16" s="789" t="s">
        <v>373</v>
      </c>
      <c r="D16" s="789">
        <v>650000000</v>
      </c>
      <c r="E16" s="798" t="s">
        <v>496</v>
      </c>
      <c r="F16" s="793">
        <v>45490</v>
      </c>
      <c r="G16" s="793">
        <v>46951</v>
      </c>
      <c r="H16" s="798" t="s">
        <v>495</v>
      </c>
      <c r="I16" s="793">
        <v>47316</v>
      </c>
      <c r="J16" s="798" t="s">
        <v>379</v>
      </c>
      <c r="K16" s="789" t="s">
        <v>494</v>
      </c>
      <c r="L16" s="799" t="s">
        <v>381</v>
      </c>
      <c r="Q16" s="70"/>
    </row>
    <row r="17" spans="2:17" s="25" customFormat="1" ht="20.25" customHeight="1" x14ac:dyDescent="0.3">
      <c r="B17" s="831"/>
      <c r="C17" s="800"/>
      <c r="D17" s="800"/>
      <c r="E17" s="800"/>
      <c r="F17" s="800"/>
      <c r="G17" s="800"/>
      <c r="H17" s="800"/>
      <c r="I17" s="800"/>
      <c r="J17" s="800"/>
      <c r="K17" s="800"/>
      <c r="L17" s="801"/>
      <c r="Q17" s="70"/>
    </row>
    <row r="18" spans="2:17" s="25" customFormat="1" ht="33.75" customHeight="1" x14ac:dyDescent="0.25">
      <c r="B18" s="822" t="s">
        <v>534</v>
      </c>
      <c r="C18" s="823"/>
      <c r="D18" s="823"/>
      <c r="E18" s="823"/>
      <c r="F18" s="823"/>
      <c r="G18" s="823"/>
      <c r="H18" s="823"/>
      <c r="I18" s="823"/>
      <c r="J18" s="823"/>
      <c r="K18" s="823"/>
      <c r="L18" s="824"/>
      <c r="Q18" s="70"/>
    </row>
    <row r="19" spans="2:17" s="25" customFormat="1" ht="49.15" customHeight="1" x14ac:dyDescent="0.25">
      <c r="B19" s="827" t="s">
        <v>423</v>
      </c>
      <c r="C19" s="786" t="s">
        <v>400</v>
      </c>
      <c r="D19" s="786">
        <v>500000000</v>
      </c>
      <c r="E19" s="786" t="s">
        <v>388</v>
      </c>
      <c r="F19" s="797">
        <v>45308</v>
      </c>
      <c r="G19" s="797">
        <v>47225</v>
      </c>
      <c r="H19" s="786" t="s">
        <v>407</v>
      </c>
      <c r="I19" s="797">
        <v>414293</v>
      </c>
      <c r="J19" s="786" t="s">
        <v>379</v>
      </c>
      <c r="K19" s="786" t="s">
        <v>408</v>
      </c>
      <c r="L19" s="787" t="s">
        <v>381</v>
      </c>
      <c r="Q19" s="70"/>
    </row>
    <row r="20" spans="2:17" s="25" customFormat="1" ht="49.15" customHeight="1" x14ac:dyDescent="0.25">
      <c r="B20" s="829" t="s">
        <v>513</v>
      </c>
      <c r="C20" s="788" t="s">
        <v>400</v>
      </c>
      <c r="D20" s="789">
        <v>650000000</v>
      </c>
      <c r="E20" s="788" t="s">
        <v>514</v>
      </c>
      <c r="F20" s="793">
        <v>45553</v>
      </c>
      <c r="G20" s="793">
        <v>47744</v>
      </c>
      <c r="H20" s="789" t="s">
        <v>516</v>
      </c>
      <c r="I20" s="793">
        <v>49570</v>
      </c>
      <c r="J20" s="798" t="s">
        <v>379</v>
      </c>
      <c r="K20" s="789" t="s">
        <v>515</v>
      </c>
      <c r="L20" s="790" t="s">
        <v>381</v>
      </c>
      <c r="Q20" s="70"/>
    </row>
    <row r="21" spans="2:17" s="25" customFormat="1" ht="18.600000000000001" customHeight="1" x14ac:dyDescent="0.3">
      <c r="B21" s="832"/>
      <c r="C21" s="802"/>
      <c r="D21" s="802"/>
      <c r="E21" s="802"/>
      <c r="F21" s="802"/>
      <c r="G21" s="802"/>
      <c r="H21" s="802"/>
      <c r="I21" s="802"/>
      <c r="J21" s="802"/>
      <c r="K21" s="802"/>
      <c r="L21" s="803"/>
      <c r="Q21" s="70"/>
    </row>
    <row r="22" spans="2:17" s="25" customFormat="1" ht="33" customHeight="1" x14ac:dyDescent="0.25">
      <c r="B22" s="822" t="s">
        <v>533</v>
      </c>
      <c r="C22" s="823"/>
      <c r="D22" s="823"/>
      <c r="E22" s="823"/>
      <c r="F22" s="823"/>
      <c r="G22" s="823"/>
      <c r="H22" s="823"/>
      <c r="I22" s="823"/>
      <c r="J22" s="823"/>
      <c r="K22" s="823"/>
      <c r="L22" s="824"/>
      <c r="Q22" s="70"/>
    </row>
    <row r="23" spans="2:17" s="25" customFormat="1" ht="49.5" customHeight="1" x14ac:dyDescent="0.25">
      <c r="B23" s="830" t="s">
        <v>424</v>
      </c>
      <c r="C23" s="794" t="s">
        <v>409</v>
      </c>
      <c r="D23" s="794">
        <v>600000000</v>
      </c>
      <c r="E23" s="794" t="s">
        <v>410</v>
      </c>
      <c r="F23" s="794" t="s">
        <v>411</v>
      </c>
      <c r="G23" s="794" t="s">
        <v>412</v>
      </c>
      <c r="H23" s="794" t="s">
        <v>413</v>
      </c>
      <c r="I23" s="795" t="s">
        <v>414</v>
      </c>
      <c r="J23" s="795" t="s">
        <v>415</v>
      </c>
      <c r="K23" s="795" t="s">
        <v>416</v>
      </c>
      <c r="L23" s="796" t="s">
        <v>417</v>
      </c>
      <c r="Q23" s="70"/>
    </row>
    <row r="24" spans="2:17" s="26" customFormat="1" ht="11.25" customHeight="1" x14ac:dyDescent="0.35">
      <c r="B24" s="629"/>
      <c r="C24" s="608"/>
      <c r="D24" s="608"/>
      <c r="E24" s="675"/>
      <c r="F24" s="675"/>
      <c r="G24" s="675"/>
      <c r="H24" s="675"/>
      <c r="I24" s="675"/>
      <c r="J24" s="675"/>
      <c r="K24" s="675"/>
      <c r="L24" s="608"/>
    </row>
    <row r="25" spans="2:17" s="26" customFormat="1" ht="16.149999999999999" customHeight="1" x14ac:dyDescent="0.3">
      <c r="B25" s="953"/>
      <c r="C25" s="952"/>
      <c r="D25" s="952"/>
      <c r="E25" s="952"/>
      <c r="F25" s="952"/>
      <c r="G25" s="952"/>
      <c r="H25" s="952"/>
      <c r="I25" s="952"/>
      <c r="J25" s="952"/>
      <c r="K25" s="952"/>
      <c r="L25" s="952"/>
      <c r="M25" s="952"/>
    </row>
    <row r="26" spans="2:17" s="19" customFormat="1" ht="22.5" customHeight="1" x14ac:dyDescent="0.2">
      <c r="B26" s="954"/>
      <c r="C26" s="954"/>
      <c r="D26" s="954"/>
      <c r="E26" s="954"/>
      <c r="F26" s="954"/>
      <c r="G26" s="954"/>
      <c r="H26" s="954"/>
      <c r="I26" s="954"/>
      <c r="J26" s="954"/>
      <c r="K26" s="954"/>
      <c r="L26" s="954"/>
    </row>
    <row r="29" spans="2:17" ht="15" customHeight="1" x14ac:dyDescent="0.2">
      <c r="C29" s="72"/>
      <c r="D29" s="72"/>
      <c r="E29" s="105"/>
      <c r="F29" s="105"/>
      <c r="G29" s="105"/>
      <c r="H29" s="105"/>
      <c r="I29" s="105"/>
      <c r="J29" s="105"/>
      <c r="K29" s="105"/>
      <c r="L29" s="72"/>
    </row>
  </sheetData>
  <mergeCells count="3">
    <mergeCell ref="B5:L5"/>
    <mergeCell ref="B26:L26"/>
    <mergeCell ref="B25:M25"/>
  </mergeCells>
  <phoneticPr fontId="24" type="noConversion"/>
  <hyperlinks>
    <hyperlink ref="L2" location="'Cover '!A1" display="Back to Cover" xr:uid="{6A785561-1ABB-450D-922C-2DE3064F5E6A}"/>
  </hyperlinks>
  <printOptions horizontalCentered="1" verticalCentered="1"/>
  <pageMargins left="0" right="0" top="0" bottom="0" header="0" footer="0"/>
  <pageSetup paperSize="8" scale="88" orientation="landscape" r:id="rId1"/>
  <headerFooter alignWithMargins="0"/>
  <ignoredErrors>
    <ignoredError sqref="F11:K11 F23:L23 F12:L14 F15:G15 I15 F21:L21"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3"/>
  <sheetViews>
    <sheetView showGridLines="0" view="pageBreakPreview" zoomScale="80" zoomScaleNormal="85" zoomScaleSheetLayoutView="80" workbookViewId="0">
      <selection activeCell="I2" sqref="I2"/>
    </sheetView>
  </sheetViews>
  <sheetFormatPr defaultColWidth="9.140625" defaultRowHeight="15" customHeight="1" x14ac:dyDescent="0.2"/>
  <cols>
    <col min="1" max="1" width="2.42578125" style="20" customWidth="1"/>
    <col min="2" max="2" width="35.28515625" style="20" customWidth="1"/>
    <col min="3" max="3" width="32" style="22" customWidth="1"/>
    <col min="4" max="4" width="28.7109375" style="22" customWidth="1"/>
    <col min="5" max="8" width="28.7109375" style="106" customWidth="1"/>
    <col min="9" max="9" width="28.7109375" style="22" customWidth="1"/>
    <col min="10" max="10" width="2.42578125" style="20" customWidth="1"/>
    <col min="11" max="16384" width="9.140625" style="20"/>
  </cols>
  <sheetData>
    <row r="1" spans="1:14" s="23" customFormat="1" ht="15.75" customHeight="1" x14ac:dyDescent="0.35">
      <c r="B1" s="576"/>
      <c r="C1" s="576"/>
      <c r="D1" s="576"/>
      <c r="E1" s="669"/>
      <c r="F1" s="669"/>
      <c r="G1" s="669"/>
      <c r="H1" s="669"/>
      <c r="I1" s="576"/>
    </row>
    <row r="2" spans="1:14" s="23" customFormat="1" ht="15.75" customHeight="1" x14ac:dyDescent="0.35">
      <c r="B2" s="576"/>
      <c r="C2" s="601"/>
      <c r="D2" s="601"/>
      <c r="E2" s="670"/>
      <c r="F2" s="670"/>
      <c r="G2" s="670"/>
      <c r="H2" s="670"/>
      <c r="I2" s="577" t="s">
        <v>20</v>
      </c>
    </row>
    <row r="3" spans="1:14" s="23" customFormat="1" ht="15.75" customHeight="1" x14ac:dyDescent="0.35">
      <c r="B3" s="576"/>
      <c r="C3" s="576"/>
      <c r="D3" s="576"/>
      <c r="E3" s="669"/>
      <c r="F3" s="669"/>
      <c r="G3" s="669"/>
      <c r="H3" s="669"/>
      <c r="I3" s="576"/>
    </row>
    <row r="4" spans="1:14" s="24" customFormat="1" ht="15.75" customHeight="1" x14ac:dyDescent="0.3">
      <c r="B4" s="578"/>
      <c r="C4" s="578"/>
      <c r="D4" s="578"/>
      <c r="E4" s="671"/>
      <c r="F4" s="671"/>
      <c r="G4" s="671"/>
      <c r="H4" s="671"/>
      <c r="I4" s="578"/>
    </row>
    <row r="5" spans="1:14" ht="28.5" x14ac:dyDescent="0.2">
      <c r="A5" s="16"/>
      <c r="B5" s="937" t="s">
        <v>632</v>
      </c>
      <c r="C5" s="937"/>
      <c r="D5" s="937"/>
      <c r="E5" s="937"/>
      <c r="F5" s="937"/>
      <c r="G5" s="937"/>
      <c r="H5" s="937"/>
      <c r="I5" s="937"/>
    </row>
    <row r="6" spans="1:14" ht="9" customHeight="1" x14ac:dyDescent="0.2">
      <c r="A6" s="16"/>
      <c r="B6" s="127"/>
      <c r="C6" s="127"/>
      <c r="D6" s="127"/>
      <c r="E6" s="127"/>
      <c r="F6" s="127"/>
      <c r="G6" s="127"/>
      <c r="H6" s="127"/>
      <c r="I6" s="127"/>
    </row>
    <row r="7" spans="1:14" ht="11.25" customHeight="1" x14ac:dyDescent="0.2">
      <c r="A7" s="18"/>
      <c r="B7" s="533"/>
      <c r="C7" s="533"/>
      <c r="D7" s="533"/>
      <c r="E7" s="533"/>
      <c r="F7" s="533"/>
      <c r="G7" s="533"/>
      <c r="H7" s="533"/>
      <c r="I7" s="533"/>
    </row>
    <row r="8" spans="1:14" s="23" customFormat="1" ht="11.25" customHeight="1" x14ac:dyDescent="0.35">
      <c r="B8" s="576"/>
      <c r="C8" s="579"/>
      <c r="D8" s="579"/>
      <c r="E8" s="579"/>
      <c r="F8" s="579"/>
      <c r="G8" s="579"/>
      <c r="H8" s="579"/>
      <c r="I8" s="579"/>
    </row>
    <row r="9" spans="1:14" s="23" customFormat="1" ht="45.75" customHeight="1" x14ac:dyDescent="0.3">
      <c r="B9" s="924" t="s">
        <v>620</v>
      </c>
      <c r="C9" s="587" t="s">
        <v>616</v>
      </c>
      <c r="D9" s="587" t="s">
        <v>617</v>
      </c>
      <c r="E9" s="587" t="s">
        <v>626</v>
      </c>
      <c r="F9" s="587" t="s">
        <v>627</v>
      </c>
      <c r="G9" s="587" t="s">
        <v>614</v>
      </c>
      <c r="H9" s="587" t="s">
        <v>615</v>
      </c>
      <c r="I9" s="588" t="s">
        <v>613</v>
      </c>
      <c r="N9" s="69"/>
    </row>
    <row r="10" spans="1:14" s="23" customFormat="1" ht="32.25" customHeight="1" x14ac:dyDescent="0.25">
      <c r="B10" s="822"/>
      <c r="C10" s="820"/>
      <c r="D10" s="820"/>
      <c r="E10" s="820"/>
      <c r="F10" s="820"/>
      <c r="G10" s="820"/>
      <c r="H10" s="820"/>
      <c r="I10" s="821"/>
      <c r="N10" s="69"/>
    </row>
    <row r="11" spans="1:14" s="25" customFormat="1" ht="49.15" customHeight="1" x14ac:dyDescent="0.25">
      <c r="B11" s="915" t="s">
        <v>610</v>
      </c>
      <c r="C11" s="926">
        <v>44285</v>
      </c>
      <c r="D11" s="918" t="s">
        <v>628</v>
      </c>
      <c r="E11" s="918">
        <v>1391</v>
      </c>
      <c r="F11" s="918">
        <v>792</v>
      </c>
      <c r="G11" s="918">
        <v>391</v>
      </c>
      <c r="H11" s="918">
        <v>168</v>
      </c>
      <c r="I11" s="919" t="s">
        <v>618</v>
      </c>
      <c r="N11" s="70"/>
    </row>
    <row r="12" spans="1:14" s="25" customFormat="1" ht="49.15" customHeight="1" x14ac:dyDescent="0.25">
      <c r="B12" s="915" t="s">
        <v>611</v>
      </c>
      <c r="C12" s="926">
        <v>44420</v>
      </c>
      <c r="D12" s="918" t="s">
        <v>628</v>
      </c>
      <c r="E12" s="920">
        <v>1110</v>
      </c>
      <c r="F12" s="920">
        <v>522</v>
      </c>
      <c r="G12" s="920">
        <v>494</v>
      </c>
      <c r="H12" s="920">
        <v>173</v>
      </c>
      <c r="I12" s="921" t="s">
        <v>618</v>
      </c>
      <c r="N12" s="70"/>
    </row>
    <row r="13" spans="1:14" s="25" customFormat="1" ht="49.15" customHeight="1" x14ac:dyDescent="0.25">
      <c r="B13" s="915" t="s">
        <v>629</v>
      </c>
      <c r="C13" s="926">
        <v>44727</v>
      </c>
      <c r="D13" s="917" t="s">
        <v>630</v>
      </c>
      <c r="E13" s="920">
        <v>603</v>
      </c>
      <c r="F13" s="920">
        <v>392</v>
      </c>
      <c r="G13" s="920">
        <v>448</v>
      </c>
      <c r="H13" s="920">
        <v>313</v>
      </c>
      <c r="I13" s="921" t="s">
        <v>618</v>
      </c>
      <c r="N13" s="70"/>
    </row>
    <row r="14" spans="1:14" s="25" customFormat="1" ht="49.15" customHeight="1" x14ac:dyDescent="0.25">
      <c r="B14" s="915" t="s">
        <v>631</v>
      </c>
      <c r="C14" s="926">
        <v>44750</v>
      </c>
      <c r="D14" s="917" t="s">
        <v>492</v>
      </c>
      <c r="E14" s="920">
        <v>1498</v>
      </c>
      <c r="F14" s="920">
        <v>377</v>
      </c>
      <c r="G14" s="920">
        <v>978</v>
      </c>
      <c r="H14" s="927">
        <v>238</v>
      </c>
      <c r="I14" s="925" t="s">
        <v>621</v>
      </c>
      <c r="N14" s="70"/>
    </row>
    <row r="15" spans="1:14" s="25" customFormat="1" ht="49.15" customHeight="1" x14ac:dyDescent="0.25">
      <c r="B15" s="915" t="s">
        <v>612</v>
      </c>
      <c r="C15" s="926">
        <v>44865</v>
      </c>
      <c r="D15" s="917" t="s">
        <v>628</v>
      </c>
      <c r="E15" s="920">
        <v>541</v>
      </c>
      <c r="F15" s="920">
        <v>246</v>
      </c>
      <c r="G15" s="920">
        <v>238</v>
      </c>
      <c r="H15" s="920">
        <v>103</v>
      </c>
      <c r="I15" s="921" t="s">
        <v>619</v>
      </c>
      <c r="N15" s="70"/>
    </row>
    <row r="16" spans="1:14" s="25" customFormat="1" ht="49.15" customHeight="1" x14ac:dyDescent="0.25">
      <c r="B16" s="915" t="s">
        <v>623</v>
      </c>
      <c r="C16" s="926">
        <v>44915</v>
      </c>
      <c r="D16" s="917" t="s">
        <v>628</v>
      </c>
      <c r="E16" s="920">
        <v>1412</v>
      </c>
      <c r="F16" s="920">
        <v>738</v>
      </c>
      <c r="G16" s="920">
        <v>1009</v>
      </c>
      <c r="H16" s="920">
        <v>397</v>
      </c>
      <c r="I16" s="921" t="s">
        <v>624</v>
      </c>
      <c r="N16" s="70"/>
    </row>
    <row r="17" spans="2:14" s="25" customFormat="1" ht="49.5" customHeight="1" x14ac:dyDescent="0.25">
      <c r="B17" s="916" t="s">
        <v>622</v>
      </c>
      <c r="C17" s="928">
        <v>45657</v>
      </c>
      <c r="D17" s="922" t="s">
        <v>628</v>
      </c>
      <c r="E17" s="922">
        <v>2084</v>
      </c>
      <c r="F17" s="922">
        <v>1008</v>
      </c>
      <c r="G17" s="922">
        <v>1844</v>
      </c>
      <c r="H17" s="922">
        <v>890</v>
      </c>
      <c r="I17" s="923" t="s">
        <v>625</v>
      </c>
      <c r="N17" s="70"/>
    </row>
    <row r="18" spans="2:14" s="26" customFormat="1" ht="11.25" customHeight="1" x14ac:dyDescent="0.35">
      <c r="B18" s="629"/>
      <c r="C18" s="608"/>
      <c r="D18" s="608"/>
      <c r="E18" s="675"/>
      <c r="F18" s="675"/>
      <c r="G18" s="675"/>
      <c r="H18" s="675"/>
      <c r="I18" s="608"/>
    </row>
    <row r="19" spans="2:14" s="26" customFormat="1" ht="16.149999999999999" customHeight="1" x14ac:dyDescent="0.3">
      <c r="B19" s="953"/>
      <c r="C19" s="952"/>
      <c r="D19" s="952"/>
      <c r="E19" s="952"/>
      <c r="F19" s="952"/>
      <c r="G19" s="952"/>
      <c r="H19" s="952"/>
      <c r="I19" s="952"/>
      <c r="J19" s="952"/>
    </row>
    <row r="20" spans="2:14" s="19" customFormat="1" ht="22.5" customHeight="1" x14ac:dyDescent="0.2">
      <c r="B20" s="954"/>
      <c r="C20" s="954"/>
      <c r="D20" s="954"/>
      <c r="E20" s="954"/>
      <c r="F20" s="954"/>
      <c r="G20" s="954"/>
      <c r="H20" s="954"/>
      <c r="I20" s="954"/>
    </row>
    <row r="23" spans="2:14" ht="15" customHeight="1" x14ac:dyDescent="0.2">
      <c r="C23" s="72"/>
      <c r="D23" s="72"/>
      <c r="E23" s="105"/>
      <c r="F23" s="105"/>
      <c r="G23" s="105"/>
      <c r="H23" s="105"/>
      <c r="I23" s="72"/>
    </row>
  </sheetData>
  <mergeCells count="3">
    <mergeCell ref="B5:I5"/>
    <mergeCell ref="B19:J19"/>
    <mergeCell ref="B20:I20"/>
  </mergeCells>
  <hyperlinks>
    <hyperlink ref="I2" location="'Cover '!A1" display="Back to Cover" xr:uid="{5F607C3F-F0BF-45E7-A048-5E0A13310F10}"/>
  </hyperlinks>
  <printOptions horizontalCentered="1" verticalCentered="1"/>
  <pageMargins left="0" right="0" top="0" bottom="0" header="0" footer="0"/>
  <pageSetup paperSize="8" scale="8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V58"/>
  <sheetViews>
    <sheetView showGridLines="0" view="pageBreakPreview" zoomScale="80" zoomScaleNormal="80" zoomScaleSheetLayoutView="80" workbookViewId="0">
      <pane xSplit="2" ySplit="10" topLeftCell="C44" activePane="bottomRight" state="frozen"/>
      <selection pane="topRight" activeCell="C1" sqref="C1"/>
      <selection pane="bottomLeft" activeCell="A11" sqref="A11"/>
      <selection pane="bottomRight" activeCell="Q13" sqref="Q13"/>
    </sheetView>
  </sheetViews>
  <sheetFormatPr defaultColWidth="9.140625" defaultRowHeight="12.75" x14ac:dyDescent="0.2"/>
  <cols>
    <col min="1" max="1" width="2.42578125" style="2" customWidth="1"/>
    <col min="2" max="2" width="65.5703125" style="2" customWidth="1"/>
    <col min="3" max="12" width="16.5703125" style="2" customWidth="1"/>
    <col min="13" max="13" width="19.85546875" style="2" customWidth="1"/>
    <col min="14" max="14" width="20" style="2" customWidth="1"/>
    <col min="15" max="15" width="2.42578125" style="2" customWidth="1"/>
    <col min="16" max="16" width="12.42578125" style="2" bestFit="1" customWidth="1"/>
    <col min="17" max="17" width="9.140625" style="2"/>
    <col min="18" max="18" width="13.5703125" style="2" bestFit="1" customWidth="1"/>
    <col min="19" max="19" width="13.85546875" style="2" customWidth="1"/>
    <col min="20" max="16384" width="9.140625" style="2"/>
  </cols>
  <sheetData>
    <row r="1" spans="1:22" ht="15.75" customHeight="1" x14ac:dyDescent="0.3">
      <c r="B1" s="676"/>
      <c r="C1" s="676"/>
      <c r="D1" s="676"/>
      <c r="E1" s="676"/>
      <c r="F1" s="676"/>
      <c r="G1" s="676"/>
      <c r="H1" s="676"/>
      <c r="I1" s="676"/>
      <c r="J1" s="676"/>
      <c r="K1" s="676"/>
      <c r="L1" s="676"/>
      <c r="M1" s="676"/>
      <c r="N1" s="676"/>
    </row>
    <row r="2" spans="1:22" ht="15.75" customHeight="1" x14ac:dyDescent="0.3">
      <c r="B2" s="676"/>
      <c r="C2" s="123"/>
      <c r="D2" s="123"/>
      <c r="E2" s="123"/>
      <c r="F2" s="123"/>
      <c r="G2" s="123"/>
      <c r="H2" s="123"/>
      <c r="I2" s="123"/>
      <c r="J2" s="123"/>
      <c r="K2" s="123"/>
      <c r="L2" s="123"/>
      <c r="M2" s="123"/>
      <c r="N2" s="122" t="s">
        <v>20</v>
      </c>
    </row>
    <row r="3" spans="1:22" ht="15.75" customHeight="1" x14ac:dyDescent="0.3">
      <c r="B3" s="676"/>
      <c r="C3" s="676"/>
      <c r="D3" s="676"/>
      <c r="E3" s="676"/>
      <c r="F3" s="676"/>
      <c r="G3" s="676"/>
      <c r="H3" s="676"/>
      <c r="I3" s="676"/>
      <c r="J3" s="676"/>
      <c r="K3" s="676"/>
      <c r="L3" s="676"/>
      <c r="M3" s="676"/>
      <c r="N3" s="676"/>
    </row>
    <row r="4" spans="1:22" ht="15.75" customHeight="1" x14ac:dyDescent="0.3">
      <c r="B4" s="676"/>
      <c r="C4" s="676"/>
      <c r="D4" s="676"/>
      <c r="E4" s="676"/>
      <c r="F4" s="676"/>
      <c r="G4" s="676"/>
      <c r="H4" s="676"/>
      <c r="I4" s="676"/>
      <c r="J4" s="676"/>
      <c r="K4" s="676"/>
      <c r="L4" s="676"/>
      <c r="M4" s="676"/>
      <c r="N4" s="676"/>
    </row>
    <row r="5" spans="1:22" ht="28.5" x14ac:dyDescent="0.2">
      <c r="A5" s="16"/>
      <c r="B5" s="937" t="s">
        <v>16</v>
      </c>
      <c r="C5" s="937"/>
      <c r="D5" s="937"/>
      <c r="E5" s="937"/>
      <c r="F5" s="937"/>
      <c r="G5" s="937"/>
      <c r="H5" s="937"/>
      <c r="I5" s="937"/>
      <c r="J5" s="937"/>
      <c r="K5" s="937"/>
      <c r="L5" s="937"/>
      <c r="M5" s="937"/>
      <c r="N5" s="937"/>
    </row>
    <row r="6" spans="1:22" s="20" customFormat="1" ht="12" customHeight="1" x14ac:dyDescent="0.2">
      <c r="A6" s="16"/>
      <c r="B6" s="127"/>
      <c r="C6" s="127"/>
      <c r="D6" s="127"/>
      <c r="E6" s="127"/>
      <c r="F6" s="127"/>
      <c r="G6" s="127"/>
      <c r="H6" s="127"/>
      <c r="I6" s="127"/>
      <c r="J6" s="127"/>
      <c r="K6" s="127"/>
      <c r="L6" s="127"/>
      <c r="M6" s="127"/>
      <c r="N6" s="127"/>
    </row>
    <row r="7" spans="1:22" ht="12" customHeight="1" x14ac:dyDescent="0.3">
      <c r="B7" s="676"/>
      <c r="C7" s="128"/>
      <c r="D7" s="128"/>
      <c r="E7" s="128"/>
      <c r="F7" s="128"/>
      <c r="G7" s="128"/>
      <c r="H7" s="128"/>
      <c r="I7" s="128"/>
      <c r="J7" s="128"/>
      <c r="K7" s="128"/>
      <c r="L7" s="128"/>
      <c r="M7" s="128"/>
      <c r="N7" s="128"/>
    </row>
    <row r="8" spans="1:22" ht="12" customHeight="1" x14ac:dyDescent="0.3">
      <c r="B8" s="676"/>
      <c r="C8" s="128"/>
      <c r="D8" s="128"/>
      <c r="E8" s="128"/>
      <c r="F8" s="128"/>
      <c r="G8" s="128"/>
      <c r="H8" s="128"/>
      <c r="I8" s="128"/>
      <c r="J8" s="128"/>
      <c r="K8" s="128"/>
      <c r="L8" s="128"/>
      <c r="M8" s="128"/>
      <c r="N8" s="128"/>
    </row>
    <row r="9" spans="1:22" ht="5.25" customHeight="1" x14ac:dyDescent="0.3">
      <c r="B9" s="676"/>
      <c r="C9" s="676"/>
      <c r="D9" s="676"/>
      <c r="E9" s="676"/>
      <c r="F9" s="676"/>
      <c r="G9" s="676"/>
      <c r="H9" s="676"/>
      <c r="I9" s="676"/>
      <c r="J9" s="676"/>
      <c r="K9" s="676"/>
      <c r="L9" s="676"/>
      <c r="M9" s="676"/>
      <c r="N9" s="676"/>
    </row>
    <row r="10" spans="1:22" ht="31.5" customHeight="1" x14ac:dyDescent="0.2">
      <c r="B10" s="686" t="s">
        <v>328</v>
      </c>
      <c r="C10" s="358">
        <v>44651</v>
      </c>
      <c r="D10" s="358">
        <v>44742</v>
      </c>
      <c r="E10" s="358">
        <v>44834</v>
      </c>
      <c r="F10" s="358">
        <v>44926</v>
      </c>
      <c r="G10" s="358">
        <v>45016</v>
      </c>
      <c r="H10" s="358">
        <v>45107</v>
      </c>
      <c r="I10" s="358">
        <v>45199</v>
      </c>
      <c r="J10" s="358">
        <v>45291</v>
      </c>
      <c r="K10" s="358">
        <v>45382</v>
      </c>
      <c r="L10" s="358">
        <v>45473</v>
      </c>
      <c r="M10" s="374">
        <v>45565</v>
      </c>
      <c r="N10" s="359">
        <v>45657</v>
      </c>
    </row>
    <row r="11" spans="1:22" ht="20.25" customHeight="1" x14ac:dyDescent="0.2">
      <c r="B11" s="321" t="s">
        <v>50</v>
      </c>
      <c r="C11" s="349">
        <v>428</v>
      </c>
      <c r="D11" s="349">
        <v>424</v>
      </c>
      <c r="E11" s="349">
        <v>419</v>
      </c>
      <c r="F11" s="349">
        <v>405</v>
      </c>
      <c r="G11" s="349">
        <v>403</v>
      </c>
      <c r="H11" s="349">
        <v>403</v>
      </c>
      <c r="I11" s="348">
        <v>402</v>
      </c>
      <c r="J11" s="349">
        <v>394</v>
      </c>
      <c r="K11" s="349">
        <v>391</v>
      </c>
      <c r="L11" s="348">
        <v>386</v>
      </c>
      <c r="M11" s="834">
        <v>384</v>
      </c>
      <c r="N11" s="360">
        <v>384</v>
      </c>
    </row>
    <row r="12" spans="1:22" ht="21" customHeight="1" x14ac:dyDescent="0.2">
      <c r="B12" s="719" t="s">
        <v>9</v>
      </c>
      <c r="C12" s="720">
        <v>412</v>
      </c>
      <c r="D12" s="720">
        <v>408</v>
      </c>
      <c r="E12" s="720">
        <v>403</v>
      </c>
      <c r="F12" s="720">
        <v>389</v>
      </c>
      <c r="G12" s="720">
        <v>387</v>
      </c>
      <c r="H12" s="720">
        <v>387</v>
      </c>
      <c r="I12" s="565">
        <v>386</v>
      </c>
      <c r="J12" s="720">
        <v>378</v>
      </c>
      <c r="K12" s="720">
        <v>375</v>
      </c>
      <c r="L12" s="565">
        <v>371</v>
      </c>
      <c r="M12" s="568">
        <v>368</v>
      </c>
      <c r="N12" s="566">
        <v>368</v>
      </c>
    </row>
    <row r="13" spans="1:22" ht="21" customHeight="1" x14ac:dyDescent="0.2">
      <c r="B13" s="718" t="s">
        <v>10</v>
      </c>
      <c r="C13" s="186">
        <v>16</v>
      </c>
      <c r="D13" s="186">
        <v>16</v>
      </c>
      <c r="E13" s="186">
        <v>16</v>
      </c>
      <c r="F13" s="186">
        <v>16</v>
      </c>
      <c r="G13" s="186">
        <v>16</v>
      </c>
      <c r="H13" s="186">
        <v>16</v>
      </c>
      <c r="I13" s="185">
        <v>16</v>
      </c>
      <c r="J13" s="186">
        <v>16</v>
      </c>
      <c r="K13" s="186">
        <v>16</v>
      </c>
      <c r="L13" s="185">
        <v>16</v>
      </c>
      <c r="M13" s="835">
        <v>16</v>
      </c>
      <c r="N13" s="249">
        <v>16</v>
      </c>
    </row>
    <row r="14" spans="1:22" ht="18" customHeight="1" x14ac:dyDescent="0.2">
      <c r="B14" s="717"/>
      <c r="C14" s="678"/>
      <c r="D14" s="678"/>
      <c r="E14" s="678"/>
      <c r="F14" s="678"/>
      <c r="G14" s="678"/>
      <c r="H14" s="678"/>
      <c r="I14" s="704"/>
      <c r="J14" s="678"/>
      <c r="K14" s="678"/>
      <c r="L14" s="704"/>
      <c r="M14" s="836"/>
      <c r="N14" s="705"/>
      <c r="Q14" s="56"/>
      <c r="R14" s="58"/>
      <c r="S14" s="58"/>
      <c r="T14" s="58"/>
      <c r="U14" s="58"/>
      <c r="V14" s="4"/>
    </row>
    <row r="15" spans="1:22" ht="18" customHeight="1" x14ac:dyDescent="0.2">
      <c r="B15" s="716" t="s">
        <v>38</v>
      </c>
      <c r="C15" s="706">
        <v>0</v>
      </c>
      <c r="D15" s="706">
        <v>0</v>
      </c>
      <c r="E15" s="706">
        <v>0</v>
      </c>
      <c r="F15" s="706">
        <v>0</v>
      </c>
      <c r="G15" s="706">
        <v>0</v>
      </c>
      <c r="H15" s="706">
        <v>0</v>
      </c>
      <c r="I15" s="707">
        <v>0</v>
      </c>
      <c r="J15" s="706">
        <v>0</v>
      </c>
      <c r="K15" s="706">
        <v>0</v>
      </c>
      <c r="L15" s="707">
        <v>0</v>
      </c>
      <c r="M15" s="837">
        <v>0</v>
      </c>
      <c r="N15" s="708">
        <v>0</v>
      </c>
      <c r="Q15" s="56"/>
      <c r="R15" s="57"/>
      <c r="S15" s="57"/>
      <c r="T15" s="57"/>
      <c r="U15" s="57"/>
    </row>
    <row r="16" spans="1:22" ht="15" x14ac:dyDescent="0.3">
      <c r="B16" s="677"/>
      <c r="C16" s="677"/>
      <c r="D16" s="677"/>
      <c r="E16" s="677"/>
      <c r="F16" s="677"/>
      <c r="G16" s="677"/>
      <c r="H16" s="677"/>
      <c r="I16" s="677"/>
      <c r="J16" s="677"/>
      <c r="K16" s="677"/>
      <c r="L16" s="677"/>
      <c r="M16" s="677"/>
      <c r="N16" s="677"/>
    </row>
    <row r="17" spans="2:18" ht="15" x14ac:dyDescent="0.3">
      <c r="B17" s="677"/>
      <c r="C17" s="677"/>
      <c r="D17" s="677"/>
      <c r="E17" s="677"/>
      <c r="F17" s="677"/>
      <c r="G17" s="677"/>
      <c r="H17" s="677"/>
      <c r="I17" s="677"/>
      <c r="J17" s="677"/>
      <c r="K17" s="677"/>
      <c r="L17" s="677"/>
      <c r="M17" s="677"/>
      <c r="N17" s="677"/>
    </row>
    <row r="18" spans="2:18" ht="31.5" customHeight="1" x14ac:dyDescent="0.2">
      <c r="B18" s="686" t="s">
        <v>325</v>
      </c>
      <c r="C18" s="358">
        <v>44651</v>
      </c>
      <c r="D18" s="358">
        <v>44742</v>
      </c>
      <c r="E18" s="358">
        <v>44834</v>
      </c>
      <c r="F18" s="358">
        <v>44926</v>
      </c>
      <c r="G18" s="358">
        <v>45016</v>
      </c>
      <c r="H18" s="358">
        <v>45107</v>
      </c>
      <c r="I18" s="358">
        <v>45199</v>
      </c>
      <c r="J18" s="358">
        <v>45291</v>
      </c>
      <c r="K18" s="358">
        <v>45382</v>
      </c>
      <c r="L18" s="358">
        <v>45473</v>
      </c>
      <c r="M18" s="374">
        <v>45565</v>
      </c>
      <c r="N18" s="359">
        <v>45657</v>
      </c>
    </row>
    <row r="19" spans="2:18" s="4" customFormat="1" ht="21" customHeight="1" x14ac:dyDescent="0.2">
      <c r="B19" s="321" t="s">
        <v>14</v>
      </c>
      <c r="C19" s="349">
        <v>10354.700000000001</v>
      </c>
      <c r="D19" s="349">
        <v>10262.700000000001</v>
      </c>
      <c r="E19" s="349">
        <v>9417.7659999999996</v>
      </c>
      <c r="F19" s="349">
        <v>8676.1509999999998</v>
      </c>
      <c r="G19" s="349">
        <v>8802.0709999999999</v>
      </c>
      <c r="H19" s="349">
        <v>8898.2250000000004</v>
      </c>
      <c r="I19" s="348">
        <v>8572.158179</v>
      </c>
      <c r="J19" s="349">
        <v>8087.1549999999997</v>
      </c>
      <c r="K19" s="349">
        <v>7917.56</v>
      </c>
      <c r="L19" s="348">
        <v>7906.4581790000002</v>
      </c>
      <c r="M19" s="834">
        <v>7912.4197180000001</v>
      </c>
      <c r="N19" s="360">
        <v>7761.4197180000001</v>
      </c>
      <c r="P19" s="88"/>
      <c r="Q19" s="88"/>
    </row>
    <row r="20" spans="2:18" ht="21" customHeight="1" x14ac:dyDescent="0.2">
      <c r="B20" s="709" t="s">
        <v>50</v>
      </c>
      <c r="C20" s="710">
        <v>9251.7000000000007</v>
      </c>
      <c r="D20" s="710">
        <v>9205.7000000000007</v>
      </c>
      <c r="E20" s="710">
        <v>9057.7659999999996</v>
      </c>
      <c r="F20" s="710">
        <v>8604.1509999999998</v>
      </c>
      <c r="G20" s="710">
        <v>8742.0709999999999</v>
      </c>
      <c r="H20" s="710">
        <v>8830.2250000000004</v>
      </c>
      <c r="I20" s="711">
        <v>8537.158179</v>
      </c>
      <c r="J20" s="710">
        <v>8053.1549999999997</v>
      </c>
      <c r="K20" s="710">
        <v>7883.56</v>
      </c>
      <c r="L20" s="711">
        <v>7872.4581790000002</v>
      </c>
      <c r="M20" s="838">
        <v>7878.4197180000001</v>
      </c>
      <c r="N20" s="728">
        <v>7734.4197180000001</v>
      </c>
      <c r="Q20" s="68"/>
    </row>
    <row r="21" spans="2:18" ht="21" customHeight="1" x14ac:dyDescent="0.2">
      <c r="B21" s="703" t="s">
        <v>9</v>
      </c>
      <c r="C21" s="349">
        <v>8879.6</v>
      </c>
      <c r="D21" s="349">
        <v>8838.6</v>
      </c>
      <c r="E21" s="349">
        <v>8720.81</v>
      </c>
      <c r="F21" s="349">
        <v>8270.8050000000003</v>
      </c>
      <c r="G21" s="349">
        <v>8237.4750000000004</v>
      </c>
      <c r="H21" s="349">
        <v>8234.375</v>
      </c>
      <c r="I21" s="348">
        <v>8166.375</v>
      </c>
      <c r="J21" s="349">
        <v>7672.375</v>
      </c>
      <c r="K21" s="349">
        <v>7501.4800000000005</v>
      </c>
      <c r="L21" s="348">
        <v>7489.4750000000004</v>
      </c>
      <c r="M21" s="834">
        <v>7495.4750000000004</v>
      </c>
      <c r="N21" s="360">
        <v>7355.9750000000004</v>
      </c>
      <c r="P21" s="68"/>
      <c r="Q21" s="68"/>
    </row>
    <row r="22" spans="2:18" ht="21" customHeight="1" x14ac:dyDescent="0.2">
      <c r="B22" s="331" t="s">
        <v>39</v>
      </c>
      <c r="C22" s="273">
        <v>8546.6</v>
      </c>
      <c r="D22" s="273">
        <v>8506.6</v>
      </c>
      <c r="E22" s="273">
        <v>8391.6</v>
      </c>
      <c r="F22" s="273">
        <v>7933.6</v>
      </c>
      <c r="G22" s="273">
        <v>7842.1</v>
      </c>
      <c r="H22" s="273">
        <v>7822.1</v>
      </c>
      <c r="I22" s="284">
        <v>7802.1</v>
      </c>
      <c r="J22" s="273">
        <v>7379.1</v>
      </c>
      <c r="K22" s="273">
        <v>7204.6</v>
      </c>
      <c r="L22" s="284">
        <v>7181.6</v>
      </c>
      <c r="M22" s="839">
        <v>7184.6</v>
      </c>
      <c r="N22" s="362">
        <v>7022.6</v>
      </c>
      <c r="Q22" s="68"/>
    </row>
    <row r="23" spans="2:18" ht="21" customHeight="1" x14ac:dyDescent="0.2">
      <c r="B23" s="712" t="s">
        <v>15</v>
      </c>
      <c r="C23" s="713">
        <v>333</v>
      </c>
      <c r="D23" s="713">
        <v>332</v>
      </c>
      <c r="E23" s="713">
        <v>329.21</v>
      </c>
      <c r="F23" s="713">
        <v>337.20499999999998</v>
      </c>
      <c r="G23" s="713">
        <v>395.375</v>
      </c>
      <c r="H23" s="713">
        <v>412.27499999999998</v>
      </c>
      <c r="I23" s="714">
        <v>364.27499999999998</v>
      </c>
      <c r="J23" s="713">
        <v>293.27499999999998</v>
      </c>
      <c r="K23" s="713">
        <v>296.88</v>
      </c>
      <c r="L23" s="714">
        <v>307.875</v>
      </c>
      <c r="M23" s="840">
        <v>310.875</v>
      </c>
      <c r="N23" s="715">
        <v>333.375</v>
      </c>
    </row>
    <row r="24" spans="2:18" ht="21" customHeight="1" x14ac:dyDescent="0.2">
      <c r="B24" s="703" t="s">
        <v>44</v>
      </c>
      <c r="C24" s="349">
        <v>372.09999999999997</v>
      </c>
      <c r="D24" s="349">
        <v>367.09999999999997</v>
      </c>
      <c r="E24" s="349">
        <v>336.95600000000002</v>
      </c>
      <c r="F24" s="349">
        <v>333.34599999999995</v>
      </c>
      <c r="G24" s="349">
        <v>504.59599999999995</v>
      </c>
      <c r="H24" s="349">
        <v>595.85</v>
      </c>
      <c r="I24" s="348">
        <v>370.7831789999999</v>
      </c>
      <c r="J24" s="349">
        <v>380.77999999999992</v>
      </c>
      <c r="K24" s="349">
        <v>382.07999999999993</v>
      </c>
      <c r="L24" s="348">
        <v>382.98317899999989</v>
      </c>
      <c r="M24" s="834">
        <v>382.94471799999991</v>
      </c>
      <c r="N24" s="360">
        <v>378.44471799999991</v>
      </c>
      <c r="R24" s="68"/>
    </row>
    <row r="25" spans="2:18" ht="21" customHeight="1" x14ac:dyDescent="0.2">
      <c r="B25" s="364" t="s">
        <v>51</v>
      </c>
      <c r="C25" s="273">
        <v>161</v>
      </c>
      <c r="D25" s="273">
        <v>128</v>
      </c>
      <c r="E25" s="273">
        <v>198</v>
      </c>
      <c r="F25" s="273">
        <v>54</v>
      </c>
      <c r="G25" s="273">
        <v>43</v>
      </c>
      <c r="H25" s="273">
        <v>52</v>
      </c>
      <c r="I25" s="284">
        <v>35</v>
      </c>
      <c r="J25" s="273">
        <v>34</v>
      </c>
      <c r="K25" s="273">
        <v>34</v>
      </c>
      <c r="L25" s="284">
        <v>34</v>
      </c>
      <c r="M25" s="839">
        <v>34</v>
      </c>
      <c r="N25" s="362">
        <v>27</v>
      </c>
      <c r="P25" s="6"/>
    </row>
    <row r="26" spans="2:18" ht="21" customHeight="1" x14ac:dyDescent="0.2">
      <c r="B26" s="689" t="s">
        <v>197</v>
      </c>
      <c r="C26" s="700">
        <v>942</v>
      </c>
      <c r="D26" s="700">
        <v>929</v>
      </c>
      <c r="E26" s="700">
        <v>162</v>
      </c>
      <c r="F26" s="700">
        <v>18</v>
      </c>
      <c r="G26" s="700">
        <v>17</v>
      </c>
      <c r="H26" s="700">
        <v>16</v>
      </c>
      <c r="I26" s="701">
        <v>0</v>
      </c>
      <c r="J26" s="700">
        <v>0</v>
      </c>
      <c r="K26" s="700">
        <v>0</v>
      </c>
      <c r="L26" s="701">
        <v>0</v>
      </c>
      <c r="M26" s="841">
        <v>0</v>
      </c>
      <c r="N26" s="702">
        <v>0</v>
      </c>
    </row>
    <row r="27" spans="2:18" ht="12.75" customHeight="1" x14ac:dyDescent="0.2">
      <c r="B27" s="124"/>
      <c r="C27" s="679"/>
      <c r="D27" s="679"/>
      <c r="E27" s="679"/>
      <c r="F27" s="679"/>
      <c r="G27" s="679"/>
      <c r="H27" s="679"/>
      <c r="I27" s="679"/>
      <c r="J27" s="679"/>
      <c r="K27" s="679"/>
      <c r="L27" s="679"/>
      <c r="M27" s="679"/>
      <c r="N27" s="679"/>
    </row>
    <row r="28" spans="2:18" s="3" customFormat="1" ht="12.75" customHeight="1" x14ac:dyDescent="0.25">
      <c r="B28" s="680"/>
      <c r="C28" s="681"/>
      <c r="D28" s="681"/>
      <c r="E28" s="681"/>
      <c r="F28" s="681"/>
      <c r="G28" s="681"/>
      <c r="H28" s="681"/>
      <c r="I28" s="681"/>
      <c r="J28" s="681"/>
      <c r="K28" s="681"/>
      <c r="L28" s="681"/>
      <c r="M28" s="681"/>
      <c r="N28" s="681"/>
    </row>
    <row r="29" spans="2:18" ht="31.5" customHeight="1" x14ac:dyDescent="0.2">
      <c r="B29" s="686" t="s">
        <v>326</v>
      </c>
      <c r="C29" s="358">
        <v>44651</v>
      </c>
      <c r="D29" s="358">
        <v>44742</v>
      </c>
      <c r="E29" s="358">
        <v>44834</v>
      </c>
      <c r="F29" s="358">
        <v>44926</v>
      </c>
      <c r="G29" s="358">
        <v>45016</v>
      </c>
      <c r="H29" s="358">
        <v>45107</v>
      </c>
      <c r="I29" s="358">
        <v>45199</v>
      </c>
      <c r="J29" s="358">
        <v>45291</v>
      </c>
      <c r="K29" s="358">
        <v>45382</v>
      </c>
      <c r="L29" s="358">
        <v>45473</v>
      </c>
      <c r="M29" s="374">
        <v>45565</v>
      </c>
      <c r="N29" s="359">
        <v>45657</v>
      </c>
      <c r="P29" s="49"/>
    </row>
    <row r="30" spans="2:18" s="3" customFormat="1" ht="38.25" customHeight="1" x14ac:dyDescent="0.25">
      <c r="B30" s="698" t="s">
        <v>542</v>
      </c>
      <c r="C30" s="273">
        <v>1250367223</v>
      </c>
      <c r="D30" s="273">
        <v>1250367223</v>
      </c>
      <c r="E30" s="273">
        <v>1250367223</v>
      </c>
      <c r="F30" s="273">
        <v>1250367223</v>
      </c>
      <c r="G30" s="273">
        <v>1250367223</v>
      </c>
      <c r="H30" s="273">
        <v>1250367223</v>
      </c>
      <c r="I30" s="284">
        <v>1250367223</v>
      </c>
      <c r="J30" s="273">
        <v>1250367223</v>
      </c>
      <c r="K30" s="273">
        <v>1250367223</v>
      </c>
      <c r="L30" s="284">
        <v>1250367223</v>
      </c>
      <c r="M30" s="839">
        <v>1250367223</v>
      </c>
      <c r="N30" s="362">
        <v>1250367223</v>
      </c>
    </row>
    <row r="31" spans="2:18" s="3" customFormat="1" ht="38.25" customHeight="1" x14ac:dyDescent="0.25">
      <c r="B31" s="698" t="s">
        <v>543</v>
      </c>
      <c r="C31" s="273">
        <v>1250367223</v>
      </c>
      <c r="D31" s="273">
        <v>1250367223</v>
      </c>
      <c r="E31" s="273">
        <v>1250367223</v>
      </c>
      <c r="F31" s="273">
        <v>1250367223</v>
      </c>
      <c r="G31" s="273">
        <v>1249995345</v>
      </c>
      <c r="H31" s="273">
        <v>1249341330.9999998</v>
      </c>
      <c r="I31" s="273">
        <v>1243964830</v>
      </c>
      <c r="J31" s="273">
        <v>1245122198</v>
      </c>
      <c r="K31" s="273">
        <v>1245893686</v>
      </c>
      <c r="L31" s="284">
        <v>1245212023</v>
      </c>
      <c r="M31" s="839">
        <v>1246622609</v>
      </c>
      <c r="N31" s="362">
        <v>1246037681</v>
      </c>
    </row>
    <row r="32" spans="2:18" s="3" customFormat="1" ht="38.25" customHeight="1" x14ac:dyDescent="0.25">
      <c r="B32" s="698" t="s">
        <v>544</v>
      </c>
      <c r="C32" s="273">
        <v>1249734974</v>
      </c>
      <c r="D32" s="273">
        <v>1249851815</v>
      </c>
      <c r="E32" s="273">
        <v>1249714515.635139</v>
      </c>
      <c r="F32" s="273">
        <v>1249647205.3540332</v>
      </c>
      <c r="G32" s="273">
        <v>1250020909.8142855</v>
      </c>
      <c r="H32" s="273">
        <v>1250054238.8295112</v>
      </c>
      <c r="I32" s="284">
        <v>1249777043.4871008</v>
      </c>
      <c r="J32" s="273">
        <v>1248386765.5779128</v>
      </c>
      <c r="K32" s="273">
        <v>1245490625.968852</v>
      </c>
      <c r="L32" s="284">
        <v>1245564731.0000029</v>
      </c>
      <c r="M32" s="839">
        <v>1245964394.581085</v>
      </c>
      <c r="N32" s="362">
        <v>1246145867.6645174</v>
      </c>
      <c r="P32" s="5"/>
    </row>
    <row r="33" spans="2:19" s="3" customFormat="1" ht="38.25" customHeight="1" x14ac:dyDescent="0.25">
      <c r="B33" s="699" t="s">
        <v>545</v>
      </c>
      <c r="C33" s="700">
        <f>1249734974</f>
        <v>1249734974</v>
      </c>
      <c r="D33" s="700">
        <v>1249851815</v>
      </c>
      <c r="E33" s="700">
        <v>1249714515.635139</v>
      </c>
      <c r="F33" s="700">
        <v>1249647205.3540332</v>
      </c>
      <c r="G33" s="700">
        <v>1250020909.8142855</v>
      </c>
      <c r="H33" s="700">
        <v>1250054238.8295112</v>
      </c>
      <c r="I33" s="701">
        <v>1249777043.4871008</v>
      </c>
      <c r="J33" s="700">
        <v>1248386765.5779128</v>
      </c>
      <c r="K33" s="700">
        <v>1245490625.968852</v>
      </c>
      <c r="L33" s="701">
        <v>1245564731.0000029</v>
      </c>
      <c r="M33" s="841">
        <v>1245964394.581085</v>
      </c>
      <c r="N33" s="702">
        <v>1246145867.6645174</v>
      </c>
    </row>
    <row r="34" spans="2:19" s="3" customFormat="1" ht="10.5" customHeight="1" x14ac:dyDescent="0.35">
      <c r="B34" s="682"/>
      <c r="C34" s="683"/>
      <c r="D34" s="683"/>
      <c r="E34" s="683"/>
      <c r="F34" s="683"/>
      <c r="G34" s="683"/>
      <c r="H34" s="683"/>
      <c r="I34" s="683"/>
      <c r="J34" s="683"/>
      <c r="K34" s="683"/>
      <c r="L34" s="683"/>
      <c r="M34" s="683"/>
      <c r="N34" s="683"/>
    </row>
    <row r="35" spans="2:19" s="3" customFormat="1" ht="15.75" customHeight="1" x14ac:dyDescent="0.35">
      <c r="B35" s="124" t="s">
        <v>536</v>
      </c>
      <c r="C35" s="683"/>
      <c r="D35" s="683"/>
      <c r="E35" s="683"/>
      <c r="F35" s="683"/>
      <c r="G35" s="683"/>
      <c r="H35" s="683"/>
      <c r="I35" s="683"/>
      <c r="J35" s="683"/>
      <c r="K35" s="683"/>
      <c r="L35" s="683"/>
      <c r="M35" s="683"/>
      <c r="N35" s="683"/>
    </row>
    <row r="36" spans="2:19" s="3" customFormat="1" ht="15.75" customHeight="1" x14ac:dyDescent="0.35">
      <c r="B36" s="124" t="s">
        <v>541</v>
      </c>
      <c r="C36" s="683"/>
      <c r="D36" s="683"/>
      <c r="E36" s="683"/>
      <c r="F36" s="683"/>
      <c r="G36" s="683"/>
      <c r="H36" s="683"/>
      <c r="I36" s="683"/>
      <c r="J36" s="683"/>
      <c r="K36" s="683"/>
      <c r="L36" s="683"/>
      <c r="M36" s="683"/>
      <c r="N36" s="683"/>
    </row>
    <row r="37" spans="2:19" s="3" customFormat="1" ht="15.75" customHeight="1" x14ac:dyDescent="0.35">
      <c r="B37" s="124" t="s">
        <v>537</v>
      </c>
      <c r="C37" s="683"/>
      <c r="D37" s="683"/>
      <c r="E37" s="683"/>
      <c r="F37" s="683"/>
      <c r="G37" s="683"/>
      <c r="H37" s="683"/>
      <c r="I37" s="683"/>
      <c r="J37" s="683"/>
      <c r="K37" s="683"/>
      <c r="L37" s="683"/>
      <c r="M37" s="683"/>
      <c r="N37" s="683"/>
    </row>
    <row r="38" spans="2:19" s="3" customFormat="1" ht="15.75" customHeight="1" x14ac:dyDescent="0.35">
      <c r="B38" s="124" t="s">
        <v>538</v>
      </c>
      <c r="C38" s="683"/>
      <c r="D38" s="683"/>
      <c r="E38" s="683"/>
      <c r="F38" s="683"/>
      <c r="G38" s="683"/>
      <c r="H38" s="683"/>
      <c r="I38" s="683"/>
      <c r="J38" s="683"/>
      <c r="K38" s="683"/>
      <c r="L38" s="683"/>
      <c r="M38" s="683"/>
      <c r="N38" s="683"/>
    </row>
    <row r="39" spans="2:19" s="3" customFormat="1" ht="15.75" customHeight="1" x14ac:dyDescent="0.35">
      <c r="B39" s="124"/>
      <c r="C39" s="683"/>
      <c r="D39" s="683"/>
      <c r="E39" s="683"/>
      <c r="F39" s="683"/>
      <c r="G39" s="683"/>
      <c r="H39" s="683"/>
      <c r="I39" s="683"/>
      <c r="J39" s="683"/>
      <c r="K39" s="683"/>
      <c r="L39" s="683"/>
      <c r="M39" s="683"/>
      <c r="N39" s="683"/>
      <c r="S39" s="84"/>
    </row>
    <row r="40" spans="2:19" ht="31.5" customHeight="1" x14ac:dyDescent="0.25">
      <c r="B40" s="686" t="s">
        <v>327</v>
      </c>
      <c r="C40" s="358">
        <v>44651</v>
      </c>
      <c r="D40" s="358">
        <v>44742</v>
      </c>
      <c r="E40" s="358">
        <v>44834</v>
      </c>
      <c r="F40" s="358">
        <v>44926</v>
      </c>
      <c r="G40" s="358">
        <v>45016</v>
      </c>
      <c r="H40" s="358">
        <v>45107</v>
      </c>
      <c r="I40" s="358">
        <v>45199</v>
      </c>
      <c r="J40" s="358">
        <v>45291</v>
      </c>
      <c r="K40" s="358">
        <v>45382</v>
      </c>
      <c r="L40" s="358">
        <v>45473</v>
      </c>
      <c r="M40" s="374">
        <v>45565</v>
      </c>
      <c r="N40" s="359">
        <v>45657</v>
      </c>
      <c r="R40" s="101"/>
      <c r="S40" s="83"/>
    </row>
    <row r="41" spans="2:19" s="3" customFormat="1" ht="24" customHeight="1" x14ac:dyDescent="0.25">
      <c r="B41" s="388" t="s">
        <v>164</v>
      </c>
      <c r="C41" s="273">
        <v>1769.269620545</v>
      </c>
      <c r="D41" s="273">
        <v>1171.8441613955999</v>
      </c>
      <c r="E41" s="273">
        <v>1296.6380999999999</v>
      </c>
      <c r="F41" s="273">
        <v>1798.028066674</v>
      </c>
      <c r="G41" s="273">
        <v>2498.2337115539999</v>
      </c>
      <c r="H41" s="273">
        <v>3758.6038723379997</v>
      </c>
      <c r="I41" s="284">
        <v>3513.5318966300001</v>
      </c>
      <c r="J41" s="273">
        <v>4001.1751136000003</v>
      </c>
      <c r="K41" s="273">
        <v>4846.4233563479993</v>
      </c>
      <c r="L41" s="284">
        <v>4258.750761538</v>
      </c>
      <c r="M41" s="839">
        <v>4783.9049951979996</v>
      </c>
      <c r="N41" s="362">
        <v>4813.9138085499999</v>
      </c>
    </row>
    <row r="42" spans="2:19" s="3" customFormat="1" ht="24" customHeight="1" x14ac:dyDescent="0.25">
      <c r="B42" s="388" t="s">
        <v>94</v>
      </c>
      <c r="C42" s="684">
        <v>4.241886625334228</v>
      </c>
      <c r="D42" s="684">
        <v>4.2486670333967966</v>
      </c>
      <c r="E42" s="684">
        <v>4.3396259116430791</v>
      </c>
      <c r="F42" s="684">
        <v>4.5113018769526718</v>
      </c>
      <c r="G42" s="684">
        <v>4.6600973542025468</v>
      </c>
      <c r="H42" s="684">
        <v>4.7386473600944212</v>
      </c>
      <c r="I42" s="692">
        <v>4.960739123147075</v>
      </c>
      <c r="J42" s="684">
        <v>5.1005170498132903</v>
      </c>
      <c r="K42" s="684">
        <v>5.2886711555258668</v>
      </c>
      <c r="L42" s="692">
        <v>5.4465728524370345</v>
      </c>
      <c r="M42" s="842">
        <v>5.6890063850029211</v>
      </c>
      <c r="N42" s="693">
        <v>5.7785186674463018</v>
      </c>
      <c r="S42" s="85"/>
    </row>
    <row r="43" spans="2:19" s="3" customFormat="1" ht="24" customHeight="1" x14ac:dyDescent="0.25">
      <c r="B43" s="388" t="s">
        <v>93</v>
      </c>
      <c r="C43" s="684">
        <f t="shared" ref="C43:L43" si="0">(C41/(C31/1000000))/C42</f>
        <v>0.33357798663195271</v>
      </c>
      <c r="D43" s="684">
        <f t="shared" si="0"/>
        <v>0.22058683173642613</v>
      </c>
      <c r="E43" s="684">
        <f t="shared" si="0"/>
        <v>0.23896203294947441</v>
      </c>
      <c r="F43" s="684">
        <f t="shared" si="0"/>
        <v>0.31875499339701713</v>
      </c>
      <c r="G43" s="684">
        <f t="shared" si="0"/>
        <v>0.4288739612288201</v>
      </c>
      <c r="H43" s="684">
        <f t="shared" si="0"/>
        <v>0.63487914105734478</v>
      </c>
      <c r="I43" s="692">
        <f t="shared" si="0"/>
        <v>0.56936322104655901</v>
      </c>
      <c r="J43" s="684">
        <f t="shared" si="0"/>
        <v>0.63003021738949017</v>
      </c>
      <c r="K43" s="684">
        <f t="shared" si="0"/>
        <v>0.73551883791922479</v>
      </c>
      <c r="L43" s="692">
        <f t="shared" si="0"/>
        <v>0.62793631765351865</v>
      </c>
      <c r="M43" s="842">
        <f>(M41/(M31/1000000))/M42</f>
        <v>0.67454530839687354</v>
      </c>
      <c r="N43" s="693">
        <f>(N41/(N31/1000000))/N42</f>
        <v>0.66857573992549146</v>
      </c>
    </row>
    <row r="44" spans="2:19" s="3" customFormat="1" ht="24" customHeight="1" x14ac:dyDescent="0.25">
      <c r="B44" s="388" t="s">
        <v>129</v>
      </c>
      <c r="C44" s="684">
        <v>0.4063910110989849</v>
      </c>
      <c r="D44" s="684">
        <v>6.345095947864586E-2</v>
      </c>
      <c r="E44" s="684">
        <v>8.1992712312165275E-2</v>
      </c>
      <c r="F44" s="684">
        <v>0.12511284454870905</v>
      </c>
      <c r="G44" s="684">
        <v>0.13330929644381997</v>
      </c>
      <c r="H44" s="684">
        <v>8.5291343010887685E-2</v>
      </c>
      <c r="I44" s="692">
        <v>0.21242883530718476</v>
      </c>
      <c r="J44" s="684">
        <v>0.15911450323368179</v>
      </c>
      <c r="K44" s="684">
        <v>0.17658569304283314</v>
      </c>
      <c r="L44" s="692">
        <v>0.25448035687654136</v>
      </c>
      <c r="M44" s="842">
        <v>0.24488039565950157</v>
      </c>
      <c r="N44" s="693">
        <v>0.13740515444331888</v>
      </c>
    </row>
    <row r="45" spans="2:19" s="3" customFormat="1" ht="24" customHeight="1" x14ac:dyDescent="0.25">
      <c r="B45" s="388" t="s">
        <v>163</v>
      </c>
      <c r="C45" s="684">
        <v>3.9225127509760344E-2</v>
      </c>
      <c r="D45" s="684">
        <v>7.3348577255531511E-2</v>
      </c>
      <c r="E45" s="684">
        <v>7.8681137806505E-2</v>
      </c>
      <c r="F45" s="684">
        <v>0.1333884533508761</v>
      </c>
      <c r="G45" s="684">
        <v>0.14583654309528654</v>
      </c>
      <c r="H45" s="684">
        <v>0.1538456392887077</v>
      </c>
      <c r="I45" s="692">
        <v>0.22825966872391404</v>
      </c>
      <c r="J45" s="684">
        <v>0.21809505961438166</v>
      </c>
      <c r="K45" s="684">
        <v>0.23594955898572548</v>
      </c>
      <c r="L45" s="692">
        <v>0.23467390454597309</v>
      </c>
      <c r="M45" s="842">
        <v>0.22723242184515857</v>
      </c>
      <c r="N45" s="693">
        <v>0.21962588745371969</v>
      </c>
    </row>
    <row r="46" spans="2:19" s="3" customFormat="1" ht="24" customHeight="1" x14ac:dyDescent="0.25">
      <c r="B46" s="388" t="s">
        <v>171</v>
      </c>
      <c r="C46" s="684">
        <v>9.70705337788592E-2</v>
      </c>
      <c r="D46" s="684">
        <v>5.3380043579405269E-2</v>
      </c>
      <c r="E46" s="684">
        <v>8.2964679394510937E-2</v>
      </c>
      <c r="F46" s="684">
        <v>0.14903825577695901</v>
      </c>
      <c r="G46" s="684">
        <v>0.15245576774527919</v>
      </c>
      <c r="H46" s="684">
        <v>0.18007706154844233</v>
      </c>
      <c r="I46" s="692">
        <v>0.21367726288531819</v>
      </c>
      <c r="J46" s="684">
        <v>0.25160261418775215</v>
      </c>
      <c r="K46" s="684">
        <v>0.21364749556552445</v>
      </c>
      <c r="L46" s="692">
        <v>0.25011304233528114</v>
      </c>
      <c r="M46" s="842">
        <v>0.24592670002666389</v>
      </c>
      <c r="N46" s="693">
        <v>0.25910703698085025</v>
      </c>
    </row>
    <row r="47" spans="2:19" s="3" customFormat="1" ht="24" customHeight="1" x14ac:dyDescent="0.25">
      <c r="B47" s="694" t="s">
        <v>170</v>
      </c>
      <c r="C47" s="695">
        <v>3.2886342472731354</v>
      </c>
      <c r="D47" s="695">
        <v>3.6679892200416813</v>
      </c>
      <c r="E47" s="695">
        <v>2.7738822109945773</v>
      </c>
      <c r="F47" s="695">
        <v>2.2534215839133869</v>
      </c>
      <c r="G47" s="695">
        <v>3.0661601612639533</v>
      </c>
      <c r="H47" s="695">
        <v>3.946410124282266</v>
      </c>
      <c r="I47" s="696">
        <v>3.1489440553415982</v>
      </c>
      <c r="J47" s="695">
        <v>3.0646161574259887</v>
      </c>
      <c r="K47" s="695">
        <v>4.3378989923250026</v>
      </c>
      <c r="L47" s="696">
        <v>3.1967497083661662</v>
      </c>
      <c r="M47" s="843">
        <v>3.740900320923481</v>
      </c>
      <c r="N47" s="697">
        <v>3.5819715971171733</v>
      </c>
    </row>
    <row r="48" spans="2:19" s="3" customFormat="1" ht="9.75" customHeight="1" x14ac:dyDescent="0.35">
      <c r="B48" s="124"/>
      <c r="C48" s="683"/>
      <c r="D48" s="683"/>
      <c r="E48" s="683"/>
      <c r="F48" s="683"/>
      <c r="G48" s="683"/>
      <c r="H48" s="683"/>
      <c r="I48" s="683"/>
      <c r="J48" s="683"/>
      <c r="K48" s="683"/>
      <c r="L48" s="683"/>
      <c r="M48" s="683"/>
      <c r="N48" s="683"/>
    </row>
    <row r="49" spans="2:14" s="3" customFormat="1" ht="15.75" customHeight="1" x14ac:dyDescent="0.35">
      <c r="B49" s="124" t="s">
        <v>539</v>
      </c>
      <c r="C49" s="683"/>
      <c r="D49" s="683"/>
      <c r="E49" s="683"/>
      <c r="F49" s="683"/>
      <c r="G49" s="683"/>
      <c r="H49" s="683"/>
      <c r="I49" s="683"/>
      <c r="J49" s="683"/>
      <c r="K49" s="683"/>
      <c r="L49" s="683"/>
      <c r="M49" s="683"/>
      <c r="N49" s="683"/>
    </row>
    <row r="50" spans="2:14" s="3" customFormat="1" ht="13.5" customHeight="1" x14ac:dyDescent="0.35">
      <c r="B50" s="680"/>
      <c r="C50" s="683"/>
      <c r="D50" s="683"/>
      <c r="E50" s="683"/>
      <c r="F50" s="683"/>
      <c r="G50" s="683"/>
      <c r="H50" s="683"/>
      <c r="I50" s="683"/>
      <c r="J50" s="683"/>
      <c r="K50" s="683"/>
      <c r="L50" s="683"/>
      <c r="M50" s="683"/>
      <c r="N50" s="683"/>
    </row>
    <row r="51" spans="2:14" ht="31.5" customHeight="1" x14ac:dyDescent="0.2">
      <c r="B51" s="686" t="s">
        <v>324</v>
      </c>
      <c r="C51" s="358">
        <v>44651</v>
      </c>
      <c r="D51" s="358">
        <v>44742</v>
      </c>
      <c r="E51" s="358">
        <v>44834</v>
      </c>
      <c r="F51" s="358">
        <v>44926</v>
      </c>
      <c r="G51" s="358">
        <v>45016</v>
      </c>
      <c r="H51" s="358">
        <v>45107</v>
      </c>
      <c r="I51" s="358">
        <v>45199</v>
      </c>
      <c r="J51" s="358">
        <v>45291</v>
      </c>
      <c r="K51" s="358">
        <v>45382</v>
      </c>
      <c r="L51" s="358">
        <v>45473</v>
      </c>
      <c r="M51" s="374">
        <v>45565</v>
      </c>
      <c r="N51" s="359">
        <v>45657</v>
      </c>
    </row>
    <row r="52" spans="2:14" s="6" customFormat="1" ht="48" customHeight="1" x14ac:dyDescent="0.2">
      <c r="B52" s="364" t="s">
        <v>499</v>
      </c>
      <c r="C52" s="685" t="s">
        <v>191</v>
      </c>
      <c r="D52" s="685" t="s">
        <v>191</v>
      </c>
      <c r="E52" s="685" t="s">
        <v>191</v>
      </c>
      <c r="F52" s="685" t="s">
        <v>190</v>
      </c>
      <c r="G52" s="685" t="s">
        <v>190</v>
      </c>
      <c r="H52" s="685" t="s">
        <v>190</v>
      </c>
      <c r="I52" s="687" t="s">
        <v>212</v>
      </c>
      <c r="J52" s="685" t="s">
        <v>212</v>
      </c>
      <c r="K52" s="685" t="s">
        <v>212</v>
      </c>
      <c r="L52" s="687" t="s">
        <v>212</v>
      </c>
      <c r="M52" s="844" t="s">
        <v>520</v>
      </c>
      <c r="N52" s="688" t="s">
        <v>520</v>
      </c>
    </row>
    <row r="53" spans="2:14" s="6" customFormat="1" ht="48" customHeight="1" x14ac:dyDescent="0.2">
      <c r="B53" s="364" t="s">
        <v>592</v>
      </c>
      <c r="C53" s="685" t="s">
        <v>68</v>
      </c>
      <c r="D53" s="685" t="s">
        <v>162</v>
      </c>
      <c r="E53" s="685" t="s">
        <v>162</v>
      </c>
      <c r="F53" s="685" t="s">
        <v>162</v>
      </c>
      <c r="G53" s="685" t="s">
        <v>162</v>
      </c>
      <c r="H53" s="685" t="s">
        <v>205</v>
      </c>
      <c r="I53" s="687" t="s">
        <v>205</v>
      </c>
      <c r="J53" s="685" t="s">
        <v>334</v>
      </c>
      <c r="K53" s="685" t="s">
        <v>334</v>
      </c>
      <c r="L53" s="687" t="s">
        <v>334</v>
      </c>
      <c r="M53" s="844" t="s">
        <v>521</v>
      </c>
      <c r="N53" s="688" t="s">
        <v>521</v>
      </c>
    </row>
    <row r="54" spans="2:14" s="6" customFormat="1" ht="48" customHeight="1" x14ac:dyDescent="0.2">
      <c r="B54" s="364" t="s">
        <v>17</v>
      </c>
      <c r="C54" s="685" t="s">
        <v>75</v>
      </c>
      <c r="D54" s="685" t="s">
        <v>75</v>
      </c>
      <c r="E54" s="685" t="s">
        <v>75</v>
      </c>
      <c r="F54" s="685" t="s">
        <v>75</v>
      </c>
      <c r="G54" s="685" t="s">
        <v>162</v>
      </c>
      <c r="H54" s="685" t="s">
        <v>162</v>
      </c>
      <c r="I54" s="687" t="s">
        <v>213</v>
      </c>
      <c r="J54" s="685" t="s">
        <v>334</v>
      </c>
      <c r="K54" s="685" t="s">
        <v>334</v>
      </c>
      <c r="L54" s="687" t="s">
        <v>334</v>
      </c>
      <c r="M54" s="844" t="s">
        <v>521</v>
      </c>
      <c r="N54" s="688" t="s">
        <v>521</v>
      </c>
    </row>
    <row r="55" spans="2:14" ht="48" customHeight="1" x14ac:dyDescent="0.2">
      <c r="B55" s="689" t="s">
        <v>72</v>
      </c>
      <c r="C55" s="690" t="s">
        <v>68</v>
      </c>
      <c r="D55" s="690" t="s">
        <v>68</v>
      </c>
      <c r="E55" s="690" t="s">
        <v>68</v>
      </c>
      <c r="F55" s="690" t="s">
        <v>192</v>
      </c>
      <c r="G55" s="690" t="s">
        <v>192</v>
      </c>
      <c r="H55" s="690" t="s">
        <v>192</v>
      </c>
      <c r="I55" s="691" t="s">
        <v>192</v>
      </c>
      <c r="J55" s="690" t="s">
        <v>335</v>
      </c>
      <c r="K55" s="690" t="s">
        <v>335</v>
      </c>
      <c r="L55" s="691" t="s">
        <v>335</v>
      </c>
      <c r="M55" s="845" t="s">
        <v>522</v>
      </c>
      <c r="N55" s="813" t="s">
        <v>522</v>
      </c>
    </row>
    <row r="56" spans="2:14" ht="15" x14ac:dyDescent="0.3">
      <c r="B56" s="677"/>
      <c r="C56" s="677"/>
      <c r="D56" s="677"/>
      <c r="E56" s="677"/>
      <c r="F56" s="677"/>
      <c r="G56" s="677"/>
      <c r="H56" s="677"/>
      <c r="I56" s="677"/>
      <c r="J56" s="677"/>
      <c r="K56" s="677"/>
      <c r="L56" s="677"/>
      <c r="M56" s="677"/>
      <c r="N56" s="677"/>
    </row>
    <row r="57" spans="2:14" ht="18" customHeight="1" x14ac:dyDescent="0.2">
      <c r="B57" s="955" t="s">
        <v>498</v>
      </c>
      <c r="C57" s="956"/>
      <c r="D57" s="956"/>
      <c r="E57" s="956"/>
      <c r="F57" s="956"/>
      <c r="G57" s="956"/>
      <c r="H57" s="956"/>
      <c r="I57" s="956"/>
      <c r="J57" s="956"/>
      <c r="K57" s="956"/>
      <c r="L57" s="956"/>
      <c r="M57" s="956"/>
      <c r="N57" s="956"/>
    </row>
    <row r="58" spans="2:14" ht="18" customHeight="1" x14ac:dyDescent="0.2">
      <c r="B58" s="955" t="s">
        <v>591</v>
      </c>
      <c r="C58" s="955"/>
      <c r="D58" s="955"/>
      <c r="E58" s="383"/>
      <c r="F58" s="383"/>
      <c r="G58" s="383"/>
      <c r="H58" s="383"/>
      <c r="I58" s="383"/>
      <c r="J58" s="383"/>
      <c r="K58" s="383"/>
      <c r="L58" s="383"/>
      <c r="M58" s="383"/>
      <c r="N58" s="383"/>
    </row>
  </sheetData>
  <mergeCells count="3">
    <mergeCell ref="B5:N5"/>
    <mergeCell ref="B57:N57"/>
    <mergeCell ref="B58:D58"/>
  </mergeCells>
  <hyperlinks>
    <hyperlink ref="N2" location="'Cover '!A1" display="Back to Cover" xr:uid="{00000000-0004-0000-0800-000000000000}"/>
  </hyperlinks>
  <printOptions horizontalCentered="1" verticalCentered="1"/>
  <pageMargins left="0" right="0" top="0" bottom="0" header="0" footer="0"/>
  <pageSetup paperSize="8"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V75"/>
  <sheetViews>
    <sheetView showGridLines="0" view="pageBreakPreview" zoomScale="85" zoomScaleNormal="90" zoomScaleSheetLayoutView="85" workbookViewId="0">
      <pane xSplit="2" ySplit="9" topLeftCell="C57" activePane="bottomRight" state="frozen"/>
      <selection pane="topRight" activeCell="C1" sqref="C1"/>
      <selection pane="bottomLeft" activeCell="A10" sqref="A10"/>
      <selection pane="bottomRight" activeCell="M11" sqref="M11"/>
    </sheetView>
  </sheetViews>
  <sheetFormatPr defaultColWidth="9.140625" defaultRowHeight="15" x14ac:dyDescent="0.2"/>
  <cols>
    <col min="1" max="1" width="2.42578125" style="121" customWidth="1"/>
    <col min="2" max="2" width="77" style="121" customWidth="1"/>
    <col min="3" max="15" width="15" style="121" customWidth="1"/>
    <col min="16" max="16" width="17.28515625" style="121" customWidth="1"/>
    <col min="17" max="17" width="2.42578125" style="121" customWidth="1"/>
    <col min="18" max="18" width="9.140625" style="121"/>
    <col min="19" max="19" width="13.7109375" style="121" customWidth="1"/>
    <col min="20" max="20" width="10.28515625" style="121" customWidth="1"/>
    <col min="21" max="16384" width="9.140625" style="121"/>
  </cols>
  <sheetData>
    <row r="1" spans="1:21" s="120" customFormat="1" ht="15.75" customHeight="1" x14ac:dyDescent="0.2">
      <c r="B1" s="121"/>
      <c r="C1" s="121"/>
      <c r="D1" s="121"/>
      <c r="E1" s="121"/>
      <c r="F1" s="121"/>
      <c r="G1" s="121"/>
      <c r="H1" s="121"/>
      <c r="I1" s="121"/>
      <c r="J1" s="121"/>
      <c r="K1" s="121"/>
      <c r="L1" s="121"/>
      <c r="M1" s="121"/>
      <c r="N1" s="121"/>
      <c r="O1" s="121"/>
      <c r="P1" s="121"/>
    </row>
    <row r="2" spans="1:21" s="120" customFormat="1" ht="15.75" customHeight="1" x14ac:dyDescent="0.2">
      <c r="B2" s="121"/>
      <c r="P2" s="122" t="s">
        <v>20</v>
      </c>
    </row>
    <row r="3" spans="1:21" s="120" customFormat="1" ht="15.75" customHeight="1" x14ac:dyDescent="0.2">
      <c r="B3" s="121"/>
      <c r="C3" s="123"/>
      <c r="D3" s="123"/>
      <c r="E3" s="123"/>
      <c r="F3" s="123"/>
      <c r="G3" s="123"/>
      <c r="P3" s="122"/>
    </row>
    <row r="4" spans="1:21" ht="15.75" customHeight="1" x14ac:dyDescent="0.2">
      <c r="P4" s="124"/>
    </row>
    <row r="5" spans="1:21" s="126" customFormat="1" ht="28.5" x14ac:dyDescent="0.2">
      <c r="A5" s="125"/>
      <c r="B5" s="937" t="s">
        <v>122</v>
      </c>
      <c r="C5" s="937"/>
      <c r="D5" s="937"/>
      <c r="E5" s="937"/>
      <c r="F5" s="937"/>
      <c r="G5" s="937"/>
      <c r="H5" s="937"/>
      <c r="I5" s="937"/>
      <c r="J5" s="937"/>
      <c r="K5" s="937"/>
      <c r="L5" s="937"/>
      <c r="M5" s="937"/>
      <c r="N5" s="937"/>
      <c r="O5" s="937"/>
      <c r="P5" s="937"/>
    </row>
    <row r="6" spans="1:21" s="126" customFormat="1" ht="9" customHeight="1" x14ac:dyDescent="0.2">
      <c r="A6" s="125"/>
      <c r="B6" s="127"/>
      <c r="C6" s="127"/>
      <c r="D6" s="127"/>
      <c r="E6" s="127"/>
      <c r="F6" s="127"/>
      <c r="G6" s="127"/>
      <c r="H6" s="127"/>
      <c r="I6" s="127"/>
      <c r="J6" s="127"/>
      <c r="K6" s="127"/>
      <c r="L6" s="127"/>
      <c r="M6" s="127"/>
      <c r="N6" s="127"/>
      <c r="O6" s="127"/>
      <c r="P6" s="127"/>
    </row>
    <row r="7" spans="1:21" s="120" customFormat="1" ht="9" customHeight="1" x14ac:dyDescent="0.2">
      <c r="B7" s="121"/>
      <c r="C7" s="128"/>
      <c r="D7" s="128"/>
      <c r="E7" s="128"/>
      <c r="F7" s="128"/>
      <c r="G7" s="128"/>
      <c r="H7" s="128"/>
      <c r="I7" s="128"/>
      <c r="J7" s="128"/>
      <c r="K7" s="128"/>
      <c r="L7" s="128"/>
      <c r="M7" s="128"/>
      <c r="N7" s="128"/>
      <c r="O7" s="128"/>
      <c r="P7" s="128"/>
    </row>
    <row r="8" spans="1:21" s="120" customFormat="1" ht="16.5" customHeight="1" x14ac:dyDescent="0.2">
      <c r="B8" s="148" t="s">
        <v>0</v>
      </c>
      <c r="C8" s="128"/>
      <c r="D8" s="128"/>
      <c r="E8" s="128"/>
      <c r="F8" s="128"/>
      <c r="G8" s="128"/>
      <c r="H8" s="128"/>
      <c r="I8" s="128"/>
      <c r="J8" s="128"/>
      <c r="K8" s="128"/>
      <c r="L8" s="128"/>
      <c r="M8" s="128"/>
      <c r="N8" s="128"/>
      <c r="O8" s="128"/>
      <c r="P8" s="128"/>
    </row>
    <row r="9" spans="1:21" s="120" customFormat="1" ht="24" customHeight="1" x14ac:dyDescent="0.2">
      <c r="B9" s="149" t="s">
        <v>120</v>
      </c>
      <c r="C9" s="150" t="s">
        <v>73</v>
      </c>
      <c r="D9" s="150" t="s">
        <v>132</v>
      </c>
      <c r="E9" s="150" t="s">
        <v>177</v>
      </c>
      <c r="F9" s="150" t="s">
        <v>183</v>
      </c>
      <c r="G9" s="150" t="s">
        <v>200</v>
      </c>
      <c r="H9" s="150" t="s">
        <v>203</v>
      </c>
      <c r="I9" s="150" t="s">
        <v>211</v>
      </c>
      <c r="J9" s="150" t="s">
        <v>333</v>
      </c>
      <c r="K9" s="150" t="s">
        <v>350</v>
      </c>
      <c r="L9" s="150" t="s">
        <v>450</v>
      </c>
      <c r="M9" s="189" t="s">
        <v>511</v>
      </c>
      <c r="N9" s="150" t="s">
        <v>549</v>
      </c>
      <c r="O9" s="210" t="s">
        <v>550</v>
      </c>
      <c r="P9" s="188" t="s">
        <v>551</v>
      </c>
    </row>
    <row r="10" spans="1:21" s="129" customFormat="1" ht="24" customHeight="1" x14ac:dyDescent="0.2">
      <c r="B10" s="151" t="s">
        <v>1</v>
      </c>
      <c r="C10" s="152">
        <v>285.89500000000004</v>
      </c>
      <c r="D10" s="152">
        <v>305.56799999999998</v>
      </c>
      <c r="E10" s="152">
        <v>330.59200000000004</v>
      </c>
      <c r="F10" s="152">
        <v>430.64700000000005</v>
      </c>
      <c r="G10" s="152">
        <v>446.86599999999999</v>
      </c>
      <c r="H10" s="152">
        <v>487.8</v>
      </c>
      <c r="I10" s="153">
        <v>531.351</v>
      </c>
      <c r="J10" s="152">
        <v>536.64499999999998</v>
      </c>
      <c r="K10" s="152">
        <v>517.62899999999991</v>
      </c>
      <c r="L10" s="153">
        <v>527.55799999999999</v>
      </c>
      <c r="M10" s="850">
        <v>529.50533123000014</v>
      </c>
      <c r="N10" s="232">
        <v>513.51499999999999</v>
      </c>
      <c r="O10" s="211">
        <v>2002.6619999999998</v>
      </c>
      <c r="P10" s="241">
        <v>2088.2073312299999</v>
      </c>
    </row>
    <row r="11" spans="1:21" s="129" customFormat="1" ht="24" customHeight="1" x14ac:dyDescent="0.2">
      <c r="B11" s="151" t="s">
        <v>198</v>
      </c>
      <c r="C11" s="152">
        <v>112.742032049264</v>
      </c>
      <c r="D11" s="152">
        <v>120.972982314544</v>
      </c>
      <c r="E11" s="152">
        <v>125.31730564699201</v>
      </c>
      <c r="F11" s="152">
        <v>125.82767998919998</v>
      </c>
      <c r="G11" s="152">
        <v>121.64700000000001</v>
      </c>
      <c r="H11" s="152">
        <v>141.40600000000001</v>
      </c>
      <c r="I11" s="153">
        <v>139.97699999999998</v>
      </c>
      <c r="J11" s="152">
        <v>143.60599999999999</v>
      </c>
      <c r="K11" s="152">
        <v>145.32</v>
      </c>
      <c r="L11" s="153">
        <v>179.239</v>
      </c>
      <c r="M11" s="850">
        <v>155.89676098999999</v>
      </c>
      <c r="N11" s="232">
        <v>167.35399999999998</v>
      </c>
      <c r="O11" s="211">
        <v>546.63599999999997</v>
      </c>
      <c r="P11" s="241">
        <v>647.80976098999997</v>
      </c>
    </row>
    <row r="12" spans="1:21" s="129" customFormat="1" ht="24" customHeight="1" x14ac:dyDescent="0.2">
      <c r="B12" s="151" t="s">
        <v>555</v>
      </c>
      <c r="C12" s="152">
        <v>7.0227117500000009</v>
      </c>
      <c r="D12" s="152">
        <v>-0.59334710000000002</v>
      </c>
      <c r="E12" s="152">
        <v>-0.10188483999999999</v>
      </c>
      <c r="F12" s="152">
        <v>-0.67009458999999993</v>
      </c>
      <c r="G12" s="152">
        <v>0</v>
      </c>
      <c r="H12" s="152">
        <v>0</v>
      </c>
      <c r="I12" s="153">
        <v>0</v>
      </c>
      <c r="J12" s="152">
        <v>0</v>
      </c>
      <c r="K12" s="152">
        <v>0</v>
      </c>
      <c r="L12" s="153">
        <v>11.949892</v>
      </c>
      <c r="M12" s="850">
        <v>0</v>
      </c>
      <c r="N12" s="232">
        <v>0</v>
      </c>
      <c r="O12" s="211">
        <v>0</v>
      </c>
      <c r="P12" s="241">
        <v>11.949892</v>
      </c>
    </row>
    <row r="13" spans="1:21" s="129" customFormat="1" ht="24" customHeight="1" x14ac:dyDescent="0.2">
      <c r="B13" s="151" t="s">
        <v>558</v>
      </c>
      <c r="C13" s="152">
        <v>585.38900000000001</v>
      </c>
      <c r="D13" s="152">
        <v>67.600000000000009</v>
      </c>
      <c r="E13" s="152">
        <v>64.161000000000001</v>
      </c>
      <c r="F13" s="152">
        <v>-3.6300000000000008</v>
      </c>
      <c r="G13" s="152">
        <v>9.7540000000000013</v>
      </c>
      <c r="H13" s="152">
        <v>29.241999999999997</v>
      </c>
      <c r="I13" s="153">
        <v>-7.8949999999999996</v>
      </c>
      <c r="J13" s="152">
        <v>31.995000000000001</v>
      </c>
      <c r="K13" s="152">
        <v>-4.4270000000000005</v>
      </c>
      <c r="L13" s="153">
        <v>7.47</v>
      </c>
      <c r="M13" s="850">
        <v>33.253386879999915</v>
      </c>
      <c r="N13" s="232">
        <v>28.351999999999997</v>
      </c>
      <c r="O13" s="211">
        <v>63.095999999999997</v>
      </c>
      <c r="P13" s="241">
        <v>64.648386879999919</v>
      </c>
      <c r="R13" s="130"/>
    </row>
    <row r="14" spans="1:21" s="129" customFormat="1" ht="24" customHeight="1" x14ac:dyDescent="0.2">
      <c r="B14" s="151" t="s">
        <v>559</v>
      </c>
      <c r="C14" s="152">
        <v>-2.3609999999999998</v>
      </c>
      <c r="D14" s="152">
        <v>16.709</v>
      </c>
      <c r="E14" s="152">
        <v>-6.8050000000000006</v>
      </c>
      <c r="F14" s="152">
        <v>23.198</v>
      </c>
      <c r="G14" s="152">
        <v>-1.48</v>
      </c>
      <c r="H14" s="152">
        <v>3.5300000000000002</v>
      </c>
      <c r="I14" s="153">
        <v>-10.244999999999999</v>
      </c>
      <c r="J14" s="152">
        <v>9.7259999999999991</v>
      </c>
      <c r="K14" s="152">
        <v>-66.650999999999996</v>
      </c>
      <c r="L14" s="153">
        <v>11.755000000000001</v>
      </c>
      <c r="M14" s="850">
        <v>-9.9486770399999891</v>
      </c>
      <c r="N14" s="232">
        <v>20.843</v>
      </c>
      <c r="O14" s="211">
        <v>1.5309999999999986</v>
      </c>
      <c r="P14" s="241">
        <v>-44.001677039999997</v>
      </c>
    </row>
    <row r="15" spans="1:21" s="129" customFormat="1" ht="24" customHeight="1" x14ac:dyDescent="0.2">
      <c r="B15" s="151" t="s">
        <v>356</v>
      </c>
      <c r="C15" s="152">
        <v>510.7</v>
      </c>
      <c r="D15" s="152">
        <v>109.277</v>
      </c>
      <c r="E15" s="152">
        <v>52</v>
      </c>
      <c r="F15" s="152">
        <v>0</v>
      </c>
      <c r="G15" s="152">
        <v>0</v>
      </c>
      <c r="H15" s="152">
        <v>0</v>
      </c>
      <c r="I15" s="153">
        <v>0</v>
      </c>
      <c r="J15" s="152">
        <v>0</v>
      </c>
      <c r="K15" s="152">
        <v>-43.292000000000002</v>
      </c>
      <c r="L15" s="153">
        <v>0</v>
      </c>
      <c r="M15" s="850">
        <v>0</v>
      </c>
      <c r="N15" s="232">
        <v>0</v>
      </c>
      <c r="O15" s="211">
        <v>0</v>
      </c>
      <c r="P15" s="241">
        <v>-43.292000000000002</v>
      </c>
      <c r="S15" s="130"/>
    </row>
    <row r="16" spans="1:21" s="129" customFormat="1" ht="24" customHeight="1" x14ac:dyDescent="0.2">
      <c r="B16" s="157" t="s">
        <v>222</v>
      </c>
      <c r="C16" s="158">
        <f t="shared" ref="C16:J16" si="0">C10+C11+C13+C14</f>
        <v>981.66503204926403</v>
      </c>
      <c r="D16" s="158">
        <f t="shared" si="0"/>
        <v>510.84998231454398</v>
      </c>
      <c r="E16" s="158">
        <f t="shared" si="0"/>
        <v>513.26530564699203</v>
      </c>
      <c r="F16" s="158">
        <f t="shared" si="0"/>
        <v>576.0426799892</v>
      </c>
      <c r="G16" s="158">
        <f t="shared" si="0"/>
        <v>576.78700000000003</v>
      </c>
      <c r="H16" s="159">
        <f t="shared" si="0"/>
        <v>661.97799999999995</v>
      </c>
      <c r="I16" s="158">
        <f t="shared" si="0"/>
        <v>653.18799999999999</v>
      </c>
      <c r="J16" s="159">
        <f t="shared" si="0"/>
        <v>721.97199999999998</v>
      </c>
      <c r="K16" s="159">
        <f t="shared" ref="K16:O16" si="1">K10+K11+K13+K14</f>
        <v>591.87099999999987</v>
      </c>
      <c r="L16" s="158">
        <f t="shared" si="1"/>
        <v>726.02200000000005</v>
      </c>
      <c r="M16" s="873">
        <f>M10+M11+M13+M14</f>
        <v>708.70680205999997</v>
      </c>
      <c r="N16" s="233">
        <f>N10+N11+N13+N14</f>
        <v>730.06399999999985</v>
      </c>
      <c r="O16" s="212">
        <f t="shared" si="1"/>
        <v>2613.9249999999997</v>
      </c>
      <c r="P16" s="242">
        <f>P10+P11+P13+P14</f>
        <v>2756.6638020600003</v>
      </c>
      <c r="U16" s="130"/>
    </row>
    <row r="17" spans="2:21" s="129" customFormat="1" ht="24" customHeight="1" x14ac:dyDescent="0.2">
      <c r="B17" s="151" t="s">
        <v>2</v>
      </c>
      <c r="C17" s="152">
        <v>-91.200999999999993</v>
      </c>
      <c r="D17" s="152">
        <v>-101.155</v>
      </c>
      <c r="E17" s="152">
        <v>-121.26600000000001</v>
      </c>
      <c r="F17" s="152">
        <v>-131.95599999999999</v>
      </c>
      <c r="G17" s="152">
        <v>-96.718999999999994</v>
      </c>
      <c r="H17" s="152">
        <v>-96.57</v>
      </c>
      <c r="I17" s="153">
        <v>-80.358000000000004</v>
      </c>
      <c r="J17" s="152">
        <v>-168.495</v>
      </c>
      <c r="K17" s="152">
        <v>-100.86799999999999</v>
      </c>
      <c r="L17" s="153">
        <v>-100.80200000000001</v>
      </c>
      <c r="M17" s="850">
        <v>-101.65485525</v>
      </c>
      <c r="N17" s="232">
        <v>-151.71899999999999</v>
      </c>
      <c r="O17" s="211">
        <v>-442.142</v>
      </c>
      <c r="P17" s="241">
        <v>-455.04385525000004</v>
      </c>
    </row>
    <row r="18" spans="2:21" s="129" customFormat="1" ht="24" customHeight="1" x14ac:dyDescent="0.2">
      <c r="B18" s="151" t="s">
        <v>223</v>
      </c>
      <c r="C18" s="152">
        <v>-81.31903204926401</v>
      </c>
      <c r="D18" s="152">
        <v>-87.151982314544</v>
      </c>
      <c r="E18" s="152">
        <v>-85.185305646991992</v>
      </c>
      <c r="F18" s="152">
        <v>-83.882679989199985</v>
      </c>
      <c r="G18" s="152">
        <v>-83.156999999999996</v>
      </c>
      <c r="H18" s="152">
        <v>-78.429000000000002</v>
      </c>
      <c r="I18" s="153">
        <v>-89.208000000000013</v>
      </c>
      <c r="J18" s="152">
        <v>-64.234999999999999</v>
      </c>
      <c r="K18" s="152">
        <v>-72.945999999999998</v>
      </c>
      <c r="L18" s="153">
        <v>-73.254999999999995</v>
      </c>
      <c r="M18" s="850">
        <v>-75.398843909999997</v>
      </c>
      <c r="N18" s="232">
        <v>-81.564000000000007</v>
      </c>
      <c r="O18" s="211">
        <v>-315.02900000000005</v>
      </c>
      <c r="P18" s="241">
        <v>-303.16384391000003</v>
      </c>
      <c r="T18" s="130"/>
    </row>
    <row r="19" spans="2:21" s="129" customFormat="1" ht="24" customHeight="1" x14ac:dyDescent="0.2">
      <c r="B19" s="151" t="s">
        <v>161</v>
      </c>
      <c r="C19" s="152">
        <v>-29.591999999999999</v>
      </c>
      <c r="D19" s="152">
        <v>-24.890999999999998</v>
      </c>
      <c r="E19" s="152">
        <v>-25.213000000000001</v>
      </c>
      <c r="F19" s="152">
        <v>-25.965</v>
      </c>
      <c r="G19" s="152">
        <v>-26.146999999999998</v>
      </c>
      <c r="H19" s="152">
        <v>-26.212</v>
      </c>
      <c r="I19" s="153">
        <v>-26.484999999999999</v>
      </c>
      <c r="J19" s="152">
        <v>-27.077999999999999</v>
      </c>
      <c r="K19" s="152">
        <v>-28.614999999999998</v>
      </c>
      <c r="L19" s="153">
        <v>-29.193999999999999</v>
      </c>
      <c r="M19" s="850">
        <v>-30.551236739999993</v>
      </c>
      <c r="N19" s="232">
        <v>-30.558</v>
      </c>
      <c r="O19" s="211">
        <v>-105.922</v>
      </c>
      <c r="P19" s="241">
        <v>-118.91823674</v>
      </c>
    </row>
    <row r="20" spans="2:21" s="129" customFormat="1" ht="24" customHeight="1" x14ac:dyDescent="0.2">
      <c r="B20" s="154" t="s">
        <v>139</v>
      </c>
      <c r="C20" s="155">
        <f t="shared" ref="C20:J20" si="2">SUM(C17:C19)</f>
        <v>-202.11203204926397</v>
      </c>
      <c r="D20" s="156">
        <f t="shared" si="2"/>
        <v>-213.19798231454399</v>
      </c>
      <c r="E20" s="156">
        <f t="shared" si="2"/>
        <v>-231.66430564699201</v>
      </c>
      <c r="F20" s="156">
        <f t="shared" si="2"/>
        <v>-241.80367998919999</v>
      </c>
      <c r="G20" s="156">
        <f t="shared" si="2"/>
        <v>-206.02299999999997</v>
      </c>
      <c r="H20" s="156">
        <f t="shared" si="2"/>
        <v>-201.21099999999998</v>
      </c>
      <c r="I20" s="155">
        <f t="shared" si="2"/>
        <v>-196.05100000000004</v>
      </c>
      <c r="J20" s="156">
        <f t="shared" si="2"/>
        <v>-259.80799999999999</v>
      </c>
      <c r="K20" s="156">
        <f t="shared" ref="K20:P20" si="3">SUM(K17:K19)</f>
        <v>-202.429</v>
      </c>
      <c r="L20" s="155">
        <f t="shared" si="3"/>
        <v>-203.251</v>
      </c>
      <c r="M20" s="860">
        <f t="shared" ref="M20:N20" si="4">SUM(M17:M19)</f>
        <v>-207.60493589999999</v>
      </c>
      <c r="N20" s="234">
        <f t="shared" si="4"/>
        <v>-263.84100000000001</v>
      </c>
      <c r="O20" s="213">
        <f t="shared" si="3"/>
        <v>-863.09300000000007</v>
      </c>
      <c r="P20" s="243">
        <f t="shared" si="3"/>
        <v>-877.12593590000006</v>
      </c>
    </row>
    <row r="21" spans="2:21" s="129" customFormat="1" ht="24" customHeight="1" x14ac:dyDescent="0.2">
      <c r="B21" s="151" t="s">
        <v>138</v>
      </c>
      <c r="C21" s="152">
        <v>-4.1472708799999998</v>
      </c>
      <c r="D21" s="152">
        <v>-6.6</v>
      </c>
      <c r="E21" s="152">
        <v>-19.877649999999999</v>
      </c>
      <c r="F21" s="152">
        <v>-30.314</v>
      </c>
      <c r="G21" s="152">
        <v>-3.1720000000000002</v>
      </c>
      <c r="H21" s="152">
        <v>-2.1745070000000002</v>
      </c>
      <c r="I21" s="153">
        <v>-1.5662459999999996</v>
      </c>
      <c r="J21" s="152">
        <v>-63.649000000000001</v>
      </c>
      <c r="K21" s="152">
        <v>-9.6033038800000003</v>
      </c>
      <c r="L21" s="153">
        <v>-4.2904095</v>
      </c>
      <c r="M21" s="850">
        <v>-1.837108</v>
      </c>
      <c r="N21" s="232">
        <v>-38.653692239999998</v>
      </c>
      <c r="O21" s="211">
        <v>-70.548507000000001</v>
      </c>
      <c r="P21" s="241">
        <v>-54.38451362</v>
      </c>
    </row>
    <row r="22" spans="2:21" s="129" customFormat="1" ht="24" customHeight="1" x14ac:dyDescent="0.2">
      <c r="B22" s="157" t="s">
        <v>449</v>
      </c>
      <c r="C22" s="158">
        <f>C16+C20</f>
        <v>779.55300000000011</v>
      </c>
      <c r="D22" s="159">
        <f t="shared" ref="D22:J22" si="5">D16+D20</f>
        <v>297.65199999999999</v>
      </c>
      <c r="E22" s="159">
        <f t="shared" si="5"/>
        <v>281.601</v>
      </c>
      <c r="F22" s="159">
        <f t="shared" si="5"/>
        <v>334.23900000000003</v>
      </c>
      <c r="G22" s="159">
        <f t="shared" si="5"/>
        <v>370.76400000000007</v>
      </c>
      <c r="H22" s="159">
        <f t="shared" si="5"/>
        <v>460.76699999999994</v>
      </c>
      <c r="I22" s="158">
        <f t="shared" si="5"/>
        <v>457.13699999999994</v>
      </c>
      <c r="J22" s="159">
        <f t="shared" si="5"/>
        <v>462.16399999999999</v>
      </c>
      <c r="K22" s="159">
        <f t="shared" ref="K22:P22" si="6">K16+K20</f>
        <v>389.44199999999989</v>
      </c>
      <c r="L22" s="158">
        <f t="shared" si="6"/>
        <v>522.77100000000007</v>
      </c>
      <c r="M22" s="873">
        <f>M16+M20</f>
        <v>501.10186615999999</v>
      </c>
      <c r="N22" s="233">
        <f>N16+N20</f>
        <v>466.22299999999984</v>
      </c>
      <c r="O22" s="212">
        <f t="shared" si="6"/>
        <v>1750.8319999999997</v>
      </c>
      <c r="P22" s="242">
        <f t="shared" si="6"/>
        <v>1879.5378661600002</v>
      </c>
    </row>
    <row r="23" spans="2:21" s="129" customFormat="1" ht="24" customHeight="1" x14ac:dyDescent="0.2">
      <c r="B23" s="157" t="s">
        <v>482</v>
      </c>
      <c r="C23" s="158">
        <f t="shared" ref="C23:J23" si="7">C22-C15-C21-C12</f>
        <v>265.97755913000015</v>
      </c>
      <c r="D23" s="158">
        <f t="shared" si="7"/>
        <v>195.56834709999998</v>
      </c>
      <c r="E23" s="158">
        <f t="shared" si="7"/>
        <v>249.58053483999998</v>
      </c>
      <c r="F23" s="158">
        <f t="shared" si="7"/>
        <v>365.22309459000007</v>
      </c>
      <c r="G23" s="158">
        <f t="shared" si="7"/>
        <v>373.93600000000009</v>
      </c>
      <c r="H23" s="158">
        <f t="shared" si="7"/>
        <v>462.94150699999994</v>
      </c>
      <c r="I23" s="158">
        <f t="shared" si="7"/>
        <v>458.70324599999992</v>
      </c>
      <c r="J23" s="159">
        <f t="shared" si="7"/>
        <v>525.81299999999999</v>
      </c>
      <c r="K23" s="159">
        <f t="shared" ref="K23:P23" si="8">K22-K15-K21-K12</f>
        <v>442.33730387999992</v>
      </c>
      <c r="L23" s="158">
        <f t="shared" si="8"/>
        <v>515.1115175000001</v>
      </c>
      <c r="M23" s="873">
        <f t="shared" ref="M23:N23" si="9">M22-M15-M21-M12</f>
        <v>502.93897415999999</v>
      </c>
      <c r="N23" s="233">
        <f t="shared" si="9"/>
        <v>504.87669223999984</v>
      </c>
      <c r="O23" s="212">
        <f t="shared" si="8"/>
        <v>1821.3805069999996</v>
      </c>
      <c r="P23" s="242">
        <f t="shared" si="8"/>
        <v>1965.2644877800001</v>
      </c>
    </row>
    <row r="24" spans="2:21" s="129" customFormat="1" ht="24" customHeight="1" x14ac:dyDescent="0.2">
      <c r="B24" s="192" t="s">
        <v>140</v>
      </c>
      <c r="C24" s="193">
        <v>-229.72899999999998</v>
      </c>
      <c r="D24" s="193">
        <v>-190.24100000000001</v>
      </c>
      <c r="E24" s="193">
        <v>-91.522999999999996</v>
      </c>
      <c r="F24" s="193">
        <v>-103.126</v>
      </c>
      <c r="G24" s="193">
        <v>-95.394000000000005</v>
      </c>
      <c r="H24" s="193">
        <v>-283.02799999999996</v>
      </c>
      <c r="I24" s="194">
        <v>-75.676999999999992</v>
      </c>
      <c r="J24" s="193">
        <v>-104.504</v>
      </c>
      <c r="K24" s="193">
        <v>-58.474000000000004</v>
      </c>
      <c r="L24" s="194">
        <v>-43.260999999999996</v>
      </c>
      <c r="M24" s="874">
        <v>-51.714784479999999</v>
      </c>
      <c r="N24" s="235">
        <v>-127.18400000000001</v>
      </c>
      <c r="O24" s="214">
        <v>-558.60299999999995</v>
      </c>
      <c r="P24" s="244">
        <v>-280.63378448000003</v>
      </c>
      <c r="S24" s="130"/>
    </row>
    <row r="25" spans="2:21" s="129" customFormat="1" ht="24" customHeight="1" x14ac:dyDescent="0.2">
      <c r="B25" s="151" t="s">
        <v>560</v>
      </c>
      <c r="C25" s="152">
        <v>-151.6</v>
      </c>
      <c r="D25" s="152">
        <v>-117.35</v>
      </c>
      <c r="E25" s="152">
        <v>-18.381</v>
      </c>
      <c r="F25" s="152">
        <v>-33.1</v>
      </c>
      <c r="G25" s="152">
        <v>-20.760999999999999</v>
      </c>
      <c r="H25" s="152">
        <v>-180.79911400999998</v>
      </c>
      <c r="I25" s="153">
        <v>0</v>
      </c>
      <c r="J25" s="152">
        <v>-51.51</v>
      </c>
      <c r="K25" s="152">
        <v>-12.14</v>
      </c>
      <c r="L25" s="153">
        <v>0</v>
      </c>
      <c r="M25" s="850">
        <v>0</v>
      </c>
      <c r="N25" s="232">
        <v>-86.33</v>
      </c>
      <c r="O25" s="211">
        <v>-253.07011400999997</v>
      </c>
      <c r="P25" s="241">
        <v>-98.47</v>
      </c>
      <c r="S25" s="131"/>
    </row>
    <row r="26" spans="2:21" s="129" customFormat="1" ht="24" customHeight="1" x14ac:dyDescent="0.2">
      <c r="B26" s="151" t="s">
        <v>186</v>
      </c>
      <c r="C26" s="152">
        <v>-7.7380000000000013</v>
      </c>
      <c r="D26" s="152">
        <v>-14.417000000000002</v>
      </c>
      <c r="E26" s="152">
        <v>-18.779999999999998</v>
      </c>
      <c r="F26" s="152">
        <v>-0.59500000000000597</v>
      </c>
      <c r="G26" s="152">
        <v>-20.998000000000001</v>
      </c>
      <c r="H26" s="152">
        <v>-43.989000000000004</v>
      </c>
      <c r="I26" s="153">
        <v>-2.1039999999999957</v>
      </c>
      <c r="J26" s="152">
        <v>-46.639000000000003</v>
      </c>
      <c r="K26" s="152">
        <v>-6.0240000000000009</v>
      </c>
      <c r="L26" s="153">
        <v>-27.35</v>
      </c>
      <c r="M26" s="850">
        <v>-16.767441019999996</v>
      </c>
      <c r="N26" s="232">
        <v>-112.84299999999999</v>
      </c>
      <c r="O26" s="211">
        <v>-113.73</v>
      </c>
      <c r="P26" s="241">
        <v>-162.98444101999999</v>
      </c>
    </row>
    <row r="27" spans="2:21" s="129" customFormat="1" ht="24" customHeight="1" x14ac:dyDescent="0.2">
      <c r="B27" s="195" t="s">
        <v>561</v>
      </c>
      <c r="C27" s="196">
        <v>0</v>
      </c>
      <c r="D27" s="196">
        <v>0</v>
      </c>
      <c r="E27" s="196">
        <v>0</v>
      </c>
      <c r="F27" s="196">
        <v>25.8</v>
      </c>
      <c r="G27" s="196">
        <v>0</v>
      </c>
      <c r="H27" s="196">
        <v>0</v>
      </c>
      <c r="I27" s="197">
        <v>0</v>
      </c>
      <c r="J27" s="196">
        <v>0</v>
      </c>
      <c r="K27" s="196">
        <v>0</v>
      </c>
      <c r="L27" s="197">
        <v>0</v>
      </c>
      <c r="M27" s="875">
        <v>0</v>
      </c>
      <c r="N27" s="236">
        <v>-88.600999999999999</v>
      </c>
      <c r="O27" s="215">
        <v>0</v>
      </c>
      <c r="P27" s="245">
        <v>-88.600999999999999</v>
      </c>
    </row>
    <row r="28" spans="2:21" s="129" customFormat="1" ht="24" customHeight="1" thickBot="1" x14ac:dyDescent="0.25">
      <c r="B28" s="182" t="s">
        <v>471</v>
      </c>
      <c r="C28" s="183">
        <f>C22+C24+C26</f>
        <v>542.08600000000001</v>
      </c>
      <c r="D28" s="184">
        <f t="shared" ref="D28" si="10">D22+D24+D26</f>
        <v>92.993999999999971</v>
      </c>
      <c r="E28" s="184">
        <f t="shared" ref="E28" si="11">E22+E24+E26</f>
        <v>171.298</v>
      </c>
      <c r="F28" s="184">
        <f t="shared" ref="F28:H28" si="12">F22+F24+F26</f>
        <v>230.51800000000003</v>
      </c>
      <c r="G28" s="184">
        <f t="shared" si="12"/>
        <v>254.37200000000007</v>
      </c>
      <c r="H28" s="184">
        <f t="shared" si="12"/>
        <v>133.74999999999997</v>
      </c>
      <c r="I28" s="183">
        <f t="shared" ref="I28:O28" si="13">I22+I24+I26</f>
        <v>379.35599999999994</v>
      </c>
      <c r="J28" s="184">
        <f t="shared" si="13"/>
        <v>311.02099999999996</v>
      </c>
      <c r="K28" s="184">
        <f t="shared" si="13"/>
        <v>324.9439999999999</v>
      </c>
      <c r="L28" s="183">
        <f t="shared" si="13"/>
        <v>452.16000000000008</v>
      </c>
      <c r="M28" s="876">
        <f t="shared" ref="M28" si="14">M22+M24+M26</f>
        <v>432.61964066000002</v>
      </c>
      <c r="N28" s="237">
        <f>N22+N24+N26</f>
        <v>226.19599999999983</v>
      </c>
      <c r="O28" s="216">
        <f t="shared" si="13"/>
        <v>1078.4989999999998</v>
      </c>
      <c r="P28" s="246">
        <f>P22+P24+P26</f>
        <v>1435.9196406600001</v>
      </c>
      <c r="S28" s="130"/>
      <c r="U28" s="130"/>
    </row>
    <row r="29" spans="2:21" s="129" customFormat="1" ht="24" customHeight="1" thickBot="1" x14ac:dyDescent="0.25">
      <c r="B29" s="198" t="s">
        <v>564</v>
      </c>
      <c r="C29" s="199">
        <f>C23+C24+C26-C25</f>
        <v>180.11055913000015</v>
      </c>
      <c r="D29" s="200">
        <f t="shared" ref="D29" si="15">D23+D24+D26-D25</f>
        <v>108.26034709999996</v>
      </c>
      <c r="E29" s="200">
        <f t="shared" ref="E29" si="16">E23+E24+E26-E25</f>
        <v>157.65853483999999</v>
      </c>
      <c r="F29" s="200">
        <f t="shared" ref="F29:H29" si="17">F23+F24+F26-F25-F27</f>
        <v>268.80209459000008</v>
      </c>
      <c r="G29" s="200">
        <f t="shared" si="17"/>
        <v>278.30500000000012</v>
      </c>
      <c r="H29" s="200">
        <f t="shared" si="17"/>
        <v>316.72362100999999</v>
      </c>
      <c r="I29" s="199">
        <f t="shared" ref="I29:J29" si="18">I23+I24+I26-I25-I27</f>
        <v>380.92224599999992</v>
      </c>
      <c r="J29" s="200">
        <f t="shared" si="18"/>
        <v>426.17999999999995</v>
      </c>
      <c r="K29" s="200">
        <f>K23+K24+K26-K25-K27</f>
        <v>389.97930387999992</v>
      </c>
      <c r="L29" s="199">
        <f t="shared" ref="L29:O29" si="19">L23+L24+L26-L25-L27</f>
        <v>444.50051750000011</v>
      </c>
      <c r="M29" s="877">
        <f t="shared" ref="M29" si="20">M23+M24+M26-M25-M27</f>
        <v>434.45674866000002</v>
      </c>
      <c r="N29" s="238">
        <f>N23+N24+N26-N25-N27</f>
        <v>439.78069223999984</v>
      </c>
      <c r="O29" s="217">
        <f t="shared" si="19"/>
        <v>1402.1176210099998</v>
      </c>
      <c r="P29" s="247">
        <f>P23+P24+P26-P25-P27-30</f>
        <v>1678.7172622799999</v>
      </c>
    </row>
    <row r="30" spans="2:21" s="129" customFormat="1" ht="24" customHeight="1" thickBot="1" x14ac:dyDescent="0.25">
      <c r="B30" s="201" t="s">
        <v>141</v>
      </c>
      <c r="C30" s="202">
        <v>-22.04</v>
      </c>
      <c r="D30" s="202">
        <v>-0.28899999999999998</v>
      </c>
      <c r="E30" s="202">
        <v>-55.845999999999997</v>
      </c>
      <c r="F30" s="202">
        <v>-61.52</v>
      </c>
      <c r="G30" s="202">
        <v>-75.64</v>
      </c>
      <c r="H30" s="202">
        <v>-14.627000000000001</v>
      </c>
      <c r="I30" s="203">
        <v>-102.38800000000001</v>
      </c>
      <c r="J30" s="202">
        <v>-99.454999999999998</v>
      </c>
      <c r="K30" s="202">
        <v>-91.998000000000005</v>
      </c>
      <c r="L30" s="203">
        <v>-120.983</v>
      </c>
      <c r="M30" s="878">
        <v>-114.39580782999995</v>
      </c>
      <c r="N30" s="239">
        <v>-42.829000000000001</v>
      </c>
      <c r="O30" s="218">
        <v>-292.11</v>
      </c>
      <c r="P30" s="248">
        <v>-370.20580782999997</v>
      </c>
    </row>
    <row r="31" spans="2:21" s="129" customFormat="1" ht="24" customHeight="1" thickBot="1" x14ac:dyDescent="0.25">
      <c r="B31" s="201" t="s">
        <v>566</v>
      </c>
      <c r="C31" s="202">
        <v>-46.828745373799997</v>
      </c>
      <c r="D31" s="202">
        <v>-28.147690246</v>
      </c>
      <c r="E31" s="202">
        <v>-40.991219058400013</v>
      </c>
      <c r="F31" s="202">
        <v>-69.888544593399999</v>
      </c>
      <c r="G31" s="202">
        <v>-75.64</v>
      </c>
      <c r="H31" s="202">
        <v>-79.180905252499997</v>
      </c>
      <c r="I31" s="203">
        <v>-102.38800000000001</v>
      </c>
      <c r="J31" s="202">
        <v>-99.454999999999998</v>
      </c>
      <c r="K31" s="202">
        <v>-110.8582381252</v>
      </c>
      <c r="L31" s="203">
        <v>-118.76175007500001</v>
      </c>
      <c r="M31" s="878">
        <v>-114.92856914999996</v>
      </c>
      <c r="N31" s="239">
        <v>-104.7685607496</v>
      </c>
      <c r="O31" s="218">
        <v>-356.6639052525</v>
      </c>
      <c r="P31" s="248">
        <v>-440.6171180998</v>
      </c>
      <c r="R31" s="130"/>
      <c r="T31" s="130"/>
      <c r="U31" s="131"/>
    </row>
    <row r="32" spans="2:21" s="129" customFormat="1" ht="24" customHeight="1" thickBot="1" x14ac:dyDescent="0.25">
      <c r="B32" s="204" t="s">
        <v>169</v>
      </c>
      <c r="C32" s="203">
        <v>-1.2170000000000001</v>
      </c>
      <c r="D32" s="202">
        <v>0.24299999999999999</v>
      </c>
      <c r="E32" s="202">
        <v>-0.19400000000000001</v>
      </c>
      <c r="F32" s="202">
        <v>-0.56399999999999995</v>
      </c>
      <c r="G32" s="202">
        <v>-1.0289999999999999</v>
      </c>
      <c r="H32" s="202">
        <v>-0.56000000000000005</v>
      </c>
      <c r="I32" s="203">
        <v>-0.41099999999999998</v>
      </c>
      <c r="J32" s="202">
        <v>0.32400000000000001</v>
      </c>
      <c r="K32" s="202">
        <v>-0.186</v>
      </c>
      <c r="L32" s="203">
        <v>1.17</v>
      </c>
      <c r="M32" s="878">
        <v>-0.1746048999999999</v>
      </c>
      <c r="N32" s="239">
        <v>-0.97</v>
      </c>
      <c r="O32" s="218">
        <v>-1.6759999999999999</v>
      </c>
      <c r="P32" s="248">
        <v>-0.16060489999999983</v>
      </c>
      <c r="S32" s="131"/>
    </row>
    <row r="33" spans="2:22" s="129" customFormat="1" ht="24" customHeight="1" thickBot="1" x14ac:dyDescent="0.25">
      <c r="B33" s="205" t="s">
        <v>565</v>
      </c>
      <c r="C33" s="199">
        <f>C28+C31-C25-C21-C13-C32-C12-C14</f>
        <v>62.170813756199898</v>
      </c>
      <c r="D33" s="199">
        <f>D28+D31-D25-D21-D13-D32-D12-D14</f>
        <v>104.83765685399996</v>
      </c>
      <c r="E33" s="200">
        <f>E28+E31-E25-E21-E13-E32-E12-E14</f>
        <v>111.50531578159998</v>
      </c>
      <c r="F33" s="200">
        <f t="shared" ref="F33:J33" si="21">F28+F31-F25-F21-F13-F32-F12-F27-F14</f>
        <v>179.90954999659996</v>
      </c>
      <c r="G33" s="200">
        <f t="shared" si="21"/>
        <v>195.42000000000007</v>
      </c>
      <c r="H33" s="200">
        <f t="shared" si="21"/>
        <v>205.33071575749997</v>
      </c>
      <c r="I33" s="199">
        <f t="shared" si="21"/>
        <v>297.08524599999993</v>
      </c>
      <c r="J33" s="200">
        <f t="shared" si="21"/>
        <v>284.67999999999995</v>
      </c>
      <c r="K33" s="200">
        <f t="shared" ref="K33:O33" si="22">K28+K31-K25-K21-K13-K32-K12-K27-K14</f>
        <v>307.09306575479991</v>
      </c>
      <c r="L33" s="199">
        <f t="shared" si="22"/>
        <v>305.34376742500007</v>
      </c>
      <c r="M33" s="877">
        <f t="shared" ref="M33:N33" si="23">M28+M31-M25-M21-M13-M32-M12-M27-M14</f>
        <v>296.39807457000012</v>
      </c>
      <c r="N33" s="238">
        <f t="shared" si="23"/>
        <v>286.78713149039982</v>
      </c>
      <c r="O33" s="217">
        <f t="shared" si="22"/>
        <v>982.50271575749991</v>
      </c>
      <c r="P33" s="247">
        <f>P28+P31-P25-P21-P13-P32-P12-P27-P14-30</f>
        <v>1174.3220392402002</v>
      </c>
    </row>
    <row r="34" spans="2:22" s="129" customFormat="1" ht="24" customHeight="1" thickBot="1" x14ac:dyDescent="0.25">
      <c r="B34" s="205" t="s">
        <v>472</v>
      </c>
      <c r="C34" s="203">
        <v>72.328000000000031</v>
      </c>
      <c r="D34" s="202">
        <v>-24.967999999999961</v>
      </c>
      <c r="E34" s="202">
        <v>5.3560000000000514</v>
      </c>
      <c r="F34" s="202">
        <v>19.567999999999984</v>
      </c>
      <c r="G34" s="202">
        <v>8.2740000000000578</v>
      </c>
      <c r="H34" s="202">
        <v>32.771999999999878</v>
      </c>
      <c r="I34" s="203">
        <v>-18.139999999999873</v>
      </c>
      <c r="J34" s="202">
        <v>41.721000000000004</v>
      </c>
      <c r="K34" s="202">
        <v>-27.786000000000001</v>
      </c>
      <c r="L34" s="203">
        <v>19.225000000000023</v>
      </c>
      <c r="M34" s="878">
        <v>23.304709839999987</v>
      </c>
      <c r="N34" s="239">
        <v>49.19500000000005</v>
      </c>
      <c r="O34" s="218">
        <v>64.627000000000066</v>
      </c>
      <c r="P34" s="248">
        <v>63.938709840000172</v>
      </c>
    </row>
    <row r="35" spans="2:22" s="129" customFormat="1" ht="24" customHeight="1" thickBot="1" x14ac:dyDescent="0.25">
      <c r="B35" s="205" t="s">
        <v>523</v>
      </c>
      <c r="C35" s="199">
        <f t="shared" ref="C35" si="24">C34+C33</f>
        <v>134.49881375619992</v>
      </c>
      <c r="D35" s="200">
        <f t="shared" ref="D35:H35" si="25">D34+D33</f>
        <v>79.869656853999999</v>
      </c>
      <c r="E35" s="200">
        <f t="shared" si="25"/>
        <v>116.86131578160003</v>
      </c>
      <c r="F35" s="200">
        <f t="shared" si="25"/>
        <v>199.47754999659995</v>
      </c>
      <c r="G35" s="200">
        <f t="shared" si="25"/>
        <v>203.69400000000013</v>
      </c>
      <c r="H35" s="200">
        <f t="shared" si="25"/>
        <v>238.10271575749985</v>
      </c>
      <c r="I35" s="199">
        <f t="shared" ref="I35" si="26">I34+I33</f>
        <v>278.94524600000005</v>
      </c>
      <c r="J35" s="200">
        <f t="shared" ref="J35:O35" si="27">J34+J33</f>
        <v>326.40099999999995</v>
      </c>
      <c r="K35" s="200">
        <f t="shared" si="27"/>
        <v>279.30706575479991</v>
      </c>
      <c r="L35" s="199">
        <f t="shared" si="27"/>
        <v>324.56876742500009</v>
      </c>
      <c r="M35" s="877">
        <f t="shared" ref="M35:N35" si="28">M34+M33</f>
        <v>319.70278441000011</v>
      </c>
      <c r="N35" s="238">
        <f t="shared" si="28"/>
        <v>335.98213149039987</v>
      </c>
      <c r="O35" s="217">
        <f t="shared" si="27"/>
        <v>1047.1297157575</v>
      </c>
      <c r="P35" s="247">
        <f>P34+P33</f>
        <v>1238.2607490802004</v>
      </c>
    </row>
    <row r="36" spans="2:22" s="129" customFormat="1" ht="24" customHeight="1" x14ac:dyDescent="0.2">
      <c r="B36" s="176" t="s">
        <v>224</v>
      </c>
      <c r="C36" s="185">
        <f>C28+C30-C32</f>
        <v>521.26300000000003</v>
      </c>
      <c r="D36" s="186">
        <f t="shared" ref="D36" si="29">D28+D30-D32</f>
        <v>92.461999999999975</v>
      </c>
      <c r="E36" s="186">
        <f t="shared" ref="E36" si="30">E28+E30-E32</f>
        <v>115.646</v>
      </c>
      <c r="F36" s="186">
        <f t="shared" ref="F36:H36" si="31">F28+F30-F32</f>
        <v>169.56200000000001</v>
      </c>
      <c r="G36" s="186">
        <f t="shared" si="31"/>
        <v>179.76100000000008</v>
      </c>
      <c r="H36" s="186">
        <f t="shared" si="31"/>
        <v>119.68299999999998</v>
      </c>
      <c r="I36" s="185">
        <f t="shared" ref="I36" si="32">I28+I30-I32</f>
        <v>277.37899999999996</v>
      </c>
      <c r="J36" s="186">
        <f t="shared" ref="J36:O36" si="33">J28+J30-J32</f>
        <v>211.24199999999996</v>
      </c>
      <c r="K36" s="186">
        <f t="shared" si="33"/>
        <v>233.13199999999992</v>
      </c>
      <c r="L36" s="185">
        <f t="shared" si="33"/>
        <v>330.00700000000006</v>
      </c>
      <c r="M36" s="835">
        <f t="shared" ref="M36:N36" si="34">M28+M30-M32</f>
        <v>318.39843773000007</v>
      </c>
      <c r="N36" s="240">
        <f t="shared" si="34"/>
        <v>184.33699999999982</v>
      </c>
      <c r="O36" s="219">
        <f t="shared" si="33"/>
        <v>788.06499999999983</v>
      </c>
      <c r="P36" s="249">
        <f>P28+P30-P32</f>
        <v>1065.8744377300002</v>
      </c>
      <c r="S36" s="130"/>
    </row>
    <row r="37" spans="2:22" s="133" customFormat="1" ht="17.25" customHeight="1" x14ac:dyDescent="0.2">
      <c r="B37" s="132"/>
    </row>
    <row r="38" spans="2:22" s="120" customFormat="1" ht="24" customHeight="1" x14ac:dyDescent="0.2">
      <c r="B38" s="149" t="s">
        <v>121</v>
      </c>
      <c r="C38" s="187">
        <v>44651</v>
      </c>
      <c r="D38" s="187">
        <v>44742</v>
      </c>
      <c r="E38" s="187">
        <v>44834</v>
      </c>
      <c r="F38" s="187">
        <v>44926</v>
      </c>
      <c r="G38" s="187">
        <v>45016</v>
      </c>
      <c r="H38" s="187">
        <v>45107</v>
      </c>
      <c r="I38" s="187">
        <v>45199</v>
      </c>
      <c r="J38" s="187">
        <v>45291</v>
      </c>
      <c r="K38" s="187">
        <v>45382</v>
      </c>
      <c r="L38" s="187">
        <v>45473</v>
      </c>
      <c r="M38" s="191">
        <v>45565</v>
      </c>
      <c r="N38" s="187">
        <v>45657</v>
      </c>
      <c r="O38" s="220">
        <v>45291</v>
      </c>
      <c r="P38" s="190">
        <v>45657</v>
      </c>
    </row>
    <row r="39" spans="2:22" s="133" customFormat="1" ht="24" customHeight="1" x14ac:dyDescent="0.2">
      <c r="B39" s="154" t="s">
        <v>568</v>
      </c>
      <c r="C39" s="155">
        <v>79384.396000000008</v>
      </c>
      <c r="D39" s="156">
        <v>81755.793999999994</v>
      </c>
      <c r="E39" s="156">
        <v>82656.067999999985</v>
      </c>
      <c r="F39" s="156">
        <v>73127.693443138691</v>
      </c>
      <c r="G39" s="156">
        <v>74679.885999999999</v>
      </c>
      <c r="H39" s="156">
        <v>76982.615999999995</v>
      </c>
      <c r="I39" s="155">
        <v>79258.884000000005</v>
      </c>
      <c r="J39" s="156">
        <v>75499.738261459977</v>
      </c>
      <c r="K39" s="156">
        <v>77250.433999999994</v>
      </c>
      <c r="L39" s="155">
        <v>76625.849000000002</v>
      </c>
      <c r="M39" s="860">
        <v>78790.432941040068</v>
      </c>
      <c r="N39" s="234">
        <v>79124.71025229001</v>
      </c>
      <c r="O39" s="213">
        <f t="shared" ref="O39:O44" si="35">J39</f>
        <v>75499.738261459977</v>
      </c>
      <c r="P39" s="243">
        <f t="shared" ref="P39:P44" si="36">N39</f>
        <v>79124.71025229001</v>
      </c>
    </row>
    <row r="40" spans="2:22" s="133" customFormat="1" ht="24" customHeight="1" x14ac:dyDescent="0.2">
      <c r="B40" s="154" t="s">
        <v>569</v>
      </c>
      <c r="C40" s="155">
        <v>37157.484811379974</v>
      </c>
      <c r="D40" s="156">
        <v>37012.81045081999</v>
      </c>
      <c r="E40" s="156">
        <v>37723.699318710009</v>
      </c>
      <c r="F40" s="156">
        <v>38849.670370129999</v>
      </c>
      <c r="G40" s="156">
        <v>36823.953307999996</v>
      </c>
      <c r="H40" s="156">
        <v>36987.841641749998</v>
      </c>
      <c r="I40" s="155">
        <v>37298.183124290001</v>
      </c>
      <c r="J40" s="156">
        <v>38398.370784270002</v>
      </c>
      <c r="K40" s="156">
        <v>37198.035780430007</v>
      </c>
      <c r="L40" s="155">
        <v>38398.539018700001</v>
      </c>
      <c r="M40" s="860">
        <v>39036.243861620002</v>
      </c>
      <c r="N40" s="234">
        <v>40506.013319480116</v>
      </c>
      <c r="O40" s="213">
        <f t="shared" si="35"/>
        <v>38398.370784270002</v>
      </c>
      <c r="P40" s="243">
        <f t="shared" si="36"/>
        <v>40506.013319480116</v>
      </c>
      <c r="S40" s="134"/>
      <c r="U40" s="134"/>
    </row>
    <row r="41" spans="2:22" s="133" customFormat="1" ht="24" customHeight="1" x14ac:dyDescent="0.2">
      <c r="B41" s="151" t="s">
        <v>570</v>
      </c>
      <c r="C41" s="153">
        <v>4721.7395479699999</v>
      </c>
      <c r="D41" s="153">
        <v>3425.745327170001</v>
      </c>
      <c r="E41" s="153">
        <v>3331.29172062</v>
      </c>
      <c r="F41" s="152">
        <v>2624.3162290799996</v>
      </c>
      <c r="G41" s="152">
        <v>2441.5529170199989</v>
      </c>
      <c r="H41" s="152">
        <v>2048.5796317300005</v>
      </c>
      <c r="I41" s="153">
        <v>2045.45625649</v>
      </c>
      <c r="J41" s="152">
        <v>1329.3203579900003</v>
      </c>
      <c r="K41" s="152">
        <v>1302.6420000000001</v>
      </c>
      <c r="L41" s="153">
        <v>1263.5071478100012</v>
      </c>
      <c r="M41" s="850">
        <v>1261.8381047699991</v>
      </c>
      <c r="N41" s="232">
        <v>1067.9918054000004</v>
      </c>
      <c r="O41" s="211">
        <f t="shared" si="35"/>
        <v>1329.3203579900003</v>
      </c>
      <c r="P41" s="241">
        <f t="shared" si="36"/>
        <v>1067.9918054000004</v>
      </c>
      <c r="S41" s="134"/>
    </row>
    <row r="42" spans="2:22" s="133" customFormat="1" ht="24" customHeight="1" x14ac:dyDescent="0.2">
      <c r="B42" s="154" t="s">
        <v>571</v>
      </c>
      <c r="C42" s="155">
        <v>35076.957999999999</v>
      </c>
      <c r="D42" s="156">
        <v>35445.339</v>
      </c>
      <c r="E42" s="156">
        <v>36093.035000000003</v>
      </c>
      <c r="F42" s="156">
        <v>35900.877433000001</v>
      </c>
      <c r="G42" s="156">
        <v>35464.218000000001</v>
      </c>
      <c r="H42" s="156">
        <v>35823.851999999999</v>
      </c>
      <c r="I42" s="155">
        <v>36126.286</v>
      </c>
      <c r="J42" s="156">
        <v>36628.649683999996</v>
      </c>
      <c r="K42" s="156">
        <v>36414.089999999997</v>
      </c>
      <c r="L42" s="155">
        <v>37655.427000000003</v>
      </c>
      <c r="M42" s="860">
        <v>38261.902728959998</v>
      </c>
      <c r="N42" s="234">
        <v>39814.917252289997</v>
      </c>
      <c r="O42" s="213">
        <f t="shared" si="35"/>
        <v>36628.649683999996</v>
      </c>
      <c r="P42" s="243">
        <f t="shared" si="36"/>
        <v>39814.917252289997</v>
      </c>
      <c r="T42" s="134"/>
    </row>
    <row r="43" spans="2:22" s="133" customFormat="1" ht="24" customHeight="1" x14ac:dyDescent="0.2">
      <c r="B43" s="154" t="s">
        <v>225</v>
      </c>
      <c r="C43" s="155">
        <v>5303.9160000000002</v>
      </c>
      <c r="D43" s="156">
        <v>5312.3940000000002</v>
      </c>
      <c r="E43" s="156">
        <v>5426.1260000000002</v>
      </c>
      <c r="F43" s="156">
        <v>5640.7839999999997</v>
      </c>
      <c r="G43" s="156">
        <v>5825.1</v>
      </c>
      <c r="H43" s="156">
        <v>5920.1880000000001</v>
      </c>
      <c r="I43" s="155">
        <v>6170.9849999999997</v>
      </c>
      <c r="J43" s="156">
        <v>6350.7669999999998</v>
      </c>
      <c r="K43" s="156">
        <v>6589.1220000000003</v>
      </c>
      <c r="L43" s="155">
        <v>6782.1379999999999</v>
      </c>
      <c r="M43" s="860">
        <v>7092.0439822899998</v>
      </c>
      <c r="N43" s="234">
        <v>7200.2520000000004</v>
      </c>
      <c r="O43" s="213">
        <f t="shared" si="35"/>
        <v>6350.7669999999998</v>
      </c>
      <c r="P43" s="243">
        <f t="shared" si="36"/>
        <v>7200.2520000000004</v>
      </c>
      <c r="S43" s="134"/>
    </row>
    <row r="44" spans="2:22" s="133" customFormat="1" ht="24" customHeight="1" x14ac:dyDescent="0.2">
      <c r="B44" s="179" t="s">
        <v>226</v>
      </c>
      <c r="C44" s="180">
        <v>6189.0199999999977</v>
      </c>
      <c r="D44" s="181">
        <v>6212.8239999999987</v>
      </c>
      <c r="E44" s="181">
        <v>6354.0249999999996</v>
      </c>
      <c r="F44" s="181">
        <v>6580.6560000000009</v>
      </c>
      <c r="G44" s="181">
        <v>6765.2150000000011</v>
      </c>
      <c r="H44" s="181">
        <v>6892.6440000000002</v>
      </c>
      <c r="I44" s="180">
        <v>7145.3239999999996</v>
      </c>
      <c r="J44" s="181">
        <v>7353.4609999999993</v>
      </c>
      <c r="K44" s="181">
        <v>7590.5529999999999</v>
      </c>
      <c r="L44" s="180">
        <v>7804.45</v>
      </c>
      <c r="M44" s="865">
        <v>8150.2597738300001</v>
      </c>
      <c r="N44" s="250">
        <v>8272.7919999999976</v>
      </c>
      <c r="O44" s="221">
        <f t="shared" si="35"/>
        <v>7353.4609999999993</v>
      </c>
      <c r="P44" s="251">
        <f t="shared" si="36"/>
        <v>8272.7919999999976</v>
      </c>
      <c r="U44" s="135"/>
      <c r="V44" s="136"/>
    </row>
    <row r="45" spans="2:22" s="133" customFormat="1" ht="17.25" customHeight="1" x14ac:dyDescent="0.2">
      <c r="B45" s="132"/>
      <c r="T45" s="137"/>
    </row>
    <row r="46" spans="2:22" ht="24" customHeight="1" x14ac:dyDescent="0.2">
      <c r="B46" s="149" t="s">
        <v>142</v>
      </c>
      <c r="C46" s="187" t="s">
        <v>74</v>
      </c>
      <c r="D46" s="187" t="s">
        <v>131</v>
      </c>
      <c r="E46" s="187" t="s">
        <v>178</v>
      </c>
      <c r="F46" s="187" t="s">
        <v>182</v>
      </c>
      <c r="G46" s="187" t="s">
        <v>200</v>
      </c>
      <c r="H46" s="187" t="s">
        <v>203</v>
      </c>
      <c r="I46" s="187" t="s">
        <v>211</v>
      </c>
      <c r="J46" s="187" t="s">
        <v>333</v>
      </c>
      <c r="K46" s="187" t="s">
        <v>350</v>
      </c>
      <c r="L46" s="187" t="s">
        <v>450</v>
      </c>
      <c r="M46" s="191" t="s">
        <v>511</v>
      </c>
      <c r="N46" s="187" t="s">
        <v>549</v>
      </c>
      <c r="O46" s="220" t="s">
        <v>550</v>
      </c>
      <c r="P46" s="190" t="s">
        <v>551</v>
      </c>
    </row>
    <row r="47" spans="2:22" ht="24" customHeight="1" x14ac:dyDescent="0.2">
      <c r="B47" s="154" t="s">
        <v>473</v>
      </c>
      <c r="C47" s="174">
        <f t="shared" ref="C47:E47" si="37">(C33-(600*8.75%/4))/1250.367223</f>
        <v>3.9225127509760309E-2</v>
      </c>
      <c r="D47" s="175">
        <f t="shared" si="37"/>
        <v>7.3348577255531566E-2</v>
      </c>
      <c r="E47" s="175">
        <f t="shared" si="37"/>
        <v>7.8681137806505014E-2</v>
      </c>
      <c r="F47" s="175">
        <f t="shared" ref="F47" si="38">(F33-(600*8.75%/4))/1250.367223</f>
        <v>0.13338845335087607</v>
      </c>
      <c r="G47" s="175">
        <f>(G33-(600*8.75%/4))/1249.995345</f>
        <v>0.14583654309528654</v>
      </c>
      <c r="H47" s="175">
        <f>(H33-(600*8.75%/4))/1249.341331</f>
        <v>0.1538456392887077</v>
      </c>
      <c r="I47" s="174">
        <f>(I33-(600*8.75%/4))/1243.96483</f>
        <v>0.22827031693492489</v>
      </c>
      <c r="J47" s="175">
        <f>(J33-(600*8.75%/4))/1245.122198</f>
        <v>0.21809505961438166</v>
      </c>
      <c r="K47" s="175">
        <f>(K33-(600*8.75%/4))/1245.893686</f>
        <v>0.23594955898572548</v>
      </c>
      <c r="L47" s="174">
        <f>(L33-(600*8.75%/4))/1245.212023</f>
        <v>0.23467390454597309</v>
      </c>
      <c r="M47" s="871">
        <f>(M33-(600*8.75%/4))/1246.622609</f>
        <v>0.22723242184515852</v>
      </c>
      <c r="N47" s="252">
        <f>(N33-(600*8.75%/4))/1246.037681</f>
        <v>0.21962588745371964</v>
      </c>
      <c r="O47" s="222">
        <f>G47+H47+I47+J47</f>
        <v>0.74604755893330077</v>
      </c>
      <c r="P47" s="260">
        <f>(P33-52.5)/1246.037681</f>
        <v>0.90031148844542863</v>
      </c>
    </row>
    <row r="48" spans="2:22" ht="24" customHeight="1" x14ac:dyDescent="0.2">
      <c r="B48" s="283" t="s">
        <v>474</v>
      </c>
      <c r="C48" s="252">
        <f t="shared" ref="C48:C49" si="39">(C35-(600*8.75%/4))/1250.367223</f>
        <v>9.7070533778859242E-2</v>
      </c>
      <c r="D48" s="252">
        <f t="shared" ref="D48" si="40">(D35-(600*8.75%/4))/1250.367223</f>
        <v>5.338004357940531E-2</v>
      </c>
      <c r="E48" s="252">
        <f t="shared" ref="E48" si="41">(E35-(600*8.75%/4))/1250.367223</f>
        <v>8.2964679394510993E-2</v>
      </c>
      <c r="F48" s="252">
        <f t="shared" ref="F48" si="42">(F35-(600*8.75%/4))/1250.367223</f>
        <v>0.14903825577695901</v>
      </c>
      <c r="G48" s="252">
        <f>(G35-(600*8.75%/4))/1249.995345</f>
        <v>0.15245576774527919</v>
      </c>
      <c r="H48" s="252">
        <f>(H35-(600*8.75%/4))/1249.341331</f>
        <v>0.1800770615484423</v>
      </c>
      <c r="I48" s="252">
        <f>(I35-(600*8.75%/4))/1243.96483</f>
        <v>0.21368791109632904</v>
      </c>
      <c r="J48" s="252">
        <f>(J35-(600*8.75%/4))/1245.122198</f>
        <v>0.25160261418775215</v>
      </c>
      <c r="K48" s="252">
        <f>(K35-(600*8.75%/4))/1245.893686</f>
        <v>0.21364749556552445</v>
      </c>
      <c r="L48" s="252">
        <f>(L35-(600*8.75%/4))/1245.212023</f>
        <v>0.25011304233528114</v>
      </c>
      <c r="M48" s="872">
        <f>(M35-(600*8.75%/4))/1246.622609</f>
        <v>0.24592670002666389</v>
      </c>
      <c r="N48" s="252">
        <f>(N35-(600*8.75%/4))/1246.037681</f>
        <v>0.25910703698085025</v>
      </c>
      <c r="O48" s="765">
        <f>+G48+H48+I48+J48</f>
        <v>0.79782335457780262</v>
      </c>
      <c r="P48" s="260">
        <f>(P35-52.5)/1246.037681</f>
        <v>0.95162511307729902</v>
      </c>
    </row>
    <row r="49" spans="2:19" ht="24" customHeight="1" x14ac:dyDescent="0.2">
      <c r="B49" s="154" t="s">
        <v>475</v>
      </c>
      <c r="C49" s="174">
        <f t="shared" si="39"/>
        <v>0.40639101109898501</v>
      </c>
      <c r="D49" s="175">
        <f t="shared" ref="D49" si="43">(D36-(600*8.75%/4))/1250.367223</f>
        <v>6.3450959478645874E-2</v>
      </c>
      <c r="E49" s="175">
        <f t="shared" ref="E49" si="44">(E36-(600*8.75%/4))/1250.367223</f>
        <v>8.1992712312165275E-2</v>
      </c>
      <c r="F49" s="175">
        <f t="shared" ref="F49" si="45">(F36-(600*8.75%/4))/1250.367223</f>
        <v>0.12511284454870905</v>
      </c>
      <c r="G49" s="175">
        <f>(G36-(600*8.75%/4))/1249.995345</f>
        <v>0.13330929644382003</v>
      </c>
      <c r="H49" s="175">
        <f>(H36-(600*8.75%/4))/1249.341331</f>
        <v>8.5291343010887685E-2</v>
      </c>
      <c r="I49" s="174">
        <f>(I36-(600*8.75%/4))/1243.96483</f>
        <v>0.21242883530718468</v>
      </c>
      <c r="J49" s="175">
        <f>(J36-(600*8.75%/4))/1245.122198</f>
        <v>0.15911450323368179</v>
      </c>
      <c r="K49" s="175">
        <f>(K36-(600*8.75%/4))/1245.893686</f>
        <v>0.17658569304283314</v>
      </c>
      <c r="L49" s="174">
        <f>(L36-(600*8.75%/4))/1245.212023</f>
        <v>0.25448035687654136</v>
      </c>
      <c r="M49" s="871">
        <f>(M36-(600*8.75%/4))/1246.622609</f>
        <v>0.24488039565950154</v>
      </c>
      <c r="N49" s="252">
        <f>(N36-(600*8.75%/4))/1246.037681</f>
        <v>0.1374051544433188</v>
      </c>
      <c r="O49" s="222">
        <f>+G49+H49+I49+J49</f>
        <v>0.59014397799557416</v>
      </c>
      <c r="P49" s="260">
        <f>K49+L49+N49+M49</f>
        <v>0.81335160002219475</v>
      </c>
    </row>
    <row r="50" spans="2:19" ht="24" customHeight="1" x14ac:dyDescent="0.2">
      <c r="B50" s="154" t="s">
        <v>476</v>
      </c>
      <c r="C50" s="160">
        <f>(C35-(600*8.75%/4))*4/5112</f>
        <v>9.4971685255242508E-2</v>
      </c>
      <c r="D50" s="161">
        <f t="shared" ref="D50:I50" si="46">(D35-(600*8.75%/4))*4/AVERAGE(C43:D43)</f>
        <v>5.0295936613757503E-2</v>
      </c>
      <c r="E50" s="161">
        <f t="shared" si="46"/>
        <v>7.7281648332619413E-2</v>
      </c>
      <c r="F50" s="161">
        <f t="shared" si="46"/>
        <v>0.13470972475359425</v>
      </c>
      <c r="G50" s="161">
        <f t="shared" si="46"/>
        <v>0.13296419185821182</v>
      </c>
      <c r="H50" s="161">
        <f t="shared" si="46"/>
        <v>0.15323776871712289</v>
      </c>
      <c r="I50" s="160">
        <f t="shared" si="46"/>
        <v>0.17587722613844006</v>
      </c>
      <c r="J50" s="161">
        <f>(J35-(600*8.75%/4))*4/AVERAGE(I43:J43)</f>
        <v>0.2001483498475293</v>
      </c>
      <c r="K50" s="161">
        <f>(K35-(600*8.75%/4))*4/AVERAGE(J43:K43)</f>
        <v>0.1645652853775175</v>
      </c>
      <c r="L50" s="160">
        <f>(L35-(600*8.75%/4))*4/AVERAGE(K43:L43)</f>
        <v>0.18633622705713604</v>
      </c>
      <c r="M50" s="768">
        <f>(M35-(600*8.75%/4))*4/AVERAGE(L43:M43)</f>
        <v>0.17677599143579806</v>
      </c>
      <c r="N50" s="253">
        <f>(N35-(600*8.75%/4))*4/AVERAGE(M43:N43)</f>
        <v>0.18071673404494926</v>
      </c>
      <c r="O50" s="223">
        <f>(O35-52.5)/AVERAGE(F43,O43)</f>
        <v>0.16588841856362033</v>
      </c>
      <c r="P50" s="261">
        <f>(P35-52.5)/AVERAGE(J43,P43)</f>
        <v>0.1750068757309248</v>
      </c>
      <c r="S50" s="138"/>
    </row>
    <row r="51" spans="2:19" ht="24" customHeight="1" x14ac:dyDescent="0.2">
      <c r="B51" s="154" t="s">
        <v>553</v>
      </c>
      <c r="C51" s="160">
        <f>(C36*4-52.5)/AVERAGE(C43,4920.532)</f>
        <v>0.39758664722046611</v>
      </c>
      <c r="D51" s="161">
        <f t="shared" ref="D51:N51" si="47">(D36*4-52.5)/AVERAGE(D43,C43)</f>
        <v>5.9784991206925923E-2</v>
      </c>
      <c r="E51" s="161">
        <f t="shared" si="47"/>
        <v>7.6376260415774236E-2</v>
      </c>
      <c r="F51" s="161">
        <f t="shared" si="47"/>
        <v>0.1130845014552391</v>
      </c>
      <c r="G51" s="161">
        <f t="shared" si="47"/>
        <v>0.11626561022246525</v>
      </c>
      <c r="H51" s="161">
        <f t="shared" si="47"/>
        <v>7.2579233476437507E-2</v>
      </c>
      <c r="I51" s="160">
        <f t="shared" si="47"/>
        <v>0.17484093561476624</v>
      </c>
      <c r="J51" s="161">
        <f t="shared" si="47"/>
        <v>0.1265746199094184</v>
      </c>
      <c r="K51" s="161">
        <f t="shared" si="47"/>
        <v>0.13601785919492815</v>
      </c>
      <c r="L51" s="160">
        <f t="shared" si="47"/>
        <v>0.18958991149674753</v>
      </c>
      <c r="M51" s="768">
        <f t="shared" si="47"/>
        <v>0.17602389135138805</v>
      </c>
      <c r="N51" s="253">
        <f t="shared" si="47"/>
        <v>9.583456721699779E-2</v>
      </c>
      <c r="O51" s="223">
        <f>(O36-52.5)/AVERAGE(O43,F43)</f>
        <v>0.12268054399301639</v>
      </c>
      <c r="P51" s="261">
        <f>(P36-52.5)/AVERAGE(P43,O43)</f>
        <v>0.1495643150865629</v>
      </c>
      <c r="S51" s="138"/>
    </row>
    <row r="52" spans="2:19" ht="24" customHeight="1" x14ac:dyDescent="0.2">
      <c r="B52" s="154" t="s">
        <v>477</v>
      </c>
      <c r="C52" s="162">
        <f>(C35-(600*8.75%/4))*4/78793</f>
        <v>6.1616546523777455E-3</v>
      </c>
      <c r="D52" s="163">
        <f>(D35-(600*8.75%/4))*4/((D39+C39)/2)</f>
        <v>3.3136193697674053E-3</v>
      </c>
      <c r="E52" s="163">
        <f t="shared" ref="E52:N52" si="48">(E35-(600*8.75%/4))*4/((E39+D39)/2)</f>
        <v>5.0476316985741598E-3</v>
      </c>
      <c r="F52" s="163">
        <f t="shared" si="48"/>
        <v>9.5698061605538481E-3</v>
      </c>
      <c r="G52" s="163">
        <f t="shared" si="48"/>
        <v>1.0314437228075259E-2</v>
      </c>
      <c r="H52" s="163">
        <f t="shared" si="48"/>
        <v>1.1867282303307901E-2</v>
      </c>
      <c r="I52" s="162">
        <f t="shared" si="48"/>
        <v>1.3610737019293852E-2</v>
      </c>
      <c r="J52" s="163">
        <f t="shared" si="48"/>
        <v>1.6194302865825707E-2</v>
      </c>
      <c r="K52" s="163">
        <f t="shared" si="48"/>
        <v>1.394077986631297E-2</v>
      </c>
      <c r="L52" s="162">
        <f t="shared" si="48"/>
        <v>1.6191904891541996E-2</v>
      </c>
      <c r="M52" s="769">
        <f t="shared" si="48"/>
        <v>1.5780986680729157E-2</v>
      </c>
      <c r="N52" s="254">
        <f t="shared" si="48"/>
        <v>1.63559808115495E-2</v>
      </c>
      <c r="O52" s="224">
        <f>(O35-52.5)/((O39+F39)/2)</f>
        <v>1.3384201077151834E-2</v>
      </c>
      <c r="P52" s="262">
        <f>(P35-52.5)/((P39+J39)/2)</f>
        <v>1.5337299637641154E-2</v>
      </c>
    </row>
    <row r="53" spans="2:19" ht="24" customHeight="1" x14ac:dyDescent="0.2">
      <c r="B53" s="154" t="s">
        <v>554</v>
      </c>
      <c r="C53" s="162">
        <f>(C36*4-52.5)/78793</f>
        <v>2.5796098638203903E-2</v>
      </c>
      <c r="D53" s="163">
        <f t="shared" ref="D53:N53" si="49">(D36*4-52.5)/((D39+C39)/2)</f>
        <v>3.9387815044775593E-3</v>
      </c>
      <c r="E53" s="163">
        <f t="shared" si="49"/>
        <v>4.9884965112797046E-3</v>
      </c>
      <c r="F53" s="163">
        <f t="shared" si="49"/>
        <v>8.0335459126579002E-3</v>
      </c>
      <c r="G53" s="163">
        <f t="shared" si="49"/>
        <v>9.0190774047066869E-3</v>
      </c>
      <c r="H53" s="163">
        <f t="shared" si="49"/>
        <v>5.6207961015966885E-3</v>
      </c>
      <c r="I53" s="162">
        <f t="shared" si="49"/>
        <v>1.3530540861422859E-2</v>
      </c>
      <c r="J53" s="163">
        <f t="shared" si="49"/>
        <v>1.0241342141973184E-2</v>
      </c>
      <c r="K53" s="163">
        <f t="shared" si="49"/>
        <v>1.1522448544197646E-2</v>
      </c>
      <c r="L53" s="162">
        <f t="shared" si="49"/>
        <v>1.6474637615206761E-2</v>
      </c>
      <c r="M53" s="898">
        <f t="shared" si="49"/>
        <v>1.5713845881131602E-2</v>
      </c>
      <c r="N53" s="254">
        <f t="shared" si="49"/>
        <v>8.6736203526923735E-3</v>
      </c>
      <c r="O53" s="224">
        <f>(O36-52.5)/((O39+F39)/2)</f>
        <v>9.8981055053411222E-3</v>
      </c>
      <c r="P53" s="262">
        <f>(P36-52.5)/((P39+J39)/2)</f>
        <v>1.3107557665951976E-2</v>
      </c>
    </row>
    <row r="54" spans="2:19" s="139" customFormat="1" ht="24" customHeight="1" x14ac:dyDescent="0.2">
      <c r="B54" s="283" t="s">
        <v>337</v>
      </c>
      <c r="C54" s="252">
        <f t="shared" ref="C54:F54" si="50">C43/1250.367223</f>
        <v>4.241886625334228</v>
      </c>
      <c r="D54" s="252">
        <f t="shared" si="50"/>
        <v>4.2486670333967966</v>
      </c>
      <c r="E54" s="252">
        <f t="shared" si="50"/>
        <v>4.3396259116430791</v>
      </c>
      <c r="F54" s="252">
        <f t="shared" si="50"/>
        <v>4.5113018769526718</v>
      </c>
      <c r="G54" s="252">
        <f>G43/1249.995345</f>
        <v>4.6600973542025468</v>
      </c>
      <c r="H54" s="252">
        <f>H43/1249.341331</f>
        <v>4.7386473600944203</v>
      </c>
      <c r="I54" s="252">
        <f>I43/1243.96483</f>
        <v>4.960739123147075</v>
      </c>
      <c r="J54" s="252">
        <f>J43/1245.122198</f>
        <v>5.1005170498132903</v>
      </c>
      <c r="K54" s="252">
        <f>K43/1245.893686</f>
        <v>5.2886711555258668</v>
      </c>
      <c r="L54" s="252">
        <f>L43/1245.212023</f>
        <v>5.4465728524370345</v>
      </c>
      <c r="M54" s="872">
        <f>M43/1246.622609</f>
        <v>5.6890063850029211</v>
      </c>
      <c r="N54" s="252">
        <f>N43/1246.037681</f>
        <v>5.7785186674463018</v>
      </c>
      <c r="O54" s="765">
        <f>O43/1245.122198</f>
        <v>5.1005170498132903</v>
      </c>
      <c r="P54" s="260">
        <f>P43/1246.037681</f>
        <v>5.7785186674463018</v>
      </c>
    </row>
    <row r="55" spans="2:19" ht="24" customHeight="1" x14ac:dyDescent="0.2">
      <c r="B55" s="154" t="s">
        <v>478</v>
      </c>
      <c r="C55" s="164">
        <f t="shared" ref="C55:J55" si="51">(C33-(600*8.75%/4))/(C10+C11-C12)</f>
        <v>0.12524009264707187</v>
      </c>
      <c r="D55" s="165">
        <f t="shared" si="51"/>
        <v>0.21471619239714787</v>
      </c>
      <c r="E55" s="165">
        <f t="shared" si="51"/>
        <v>0.21574101213730262</v>
      </c>
      <c r="F55" s="165">
        <f t="shared" si="51"/>
        <v>0.29935585436041989</v>
      </c>
      <c r="G55" s="165">
        <f t="shared" si="51"/>
        <v>0.32065229818843205</v>
      </c>
      <c r="H55" s="165">
        <f t="shared" si="51"/>
        <v>0.30547343120933362</v>
      </c>
      <c r="I55" s="166">
        <f t="shared" si="51"/>
        <v>0.422982872753706</v>
      </c>
      <c r="J55" s="165">
        <f t="shared" si="51"/>
        <v>0.39919823712129782</v>
      </c>
      <c r="K55" s="165">
        <f t="shared" ref="K55:L55" si="52">(K33-(600*8.75%/4))/(K10+K11-K12)</f>
        <v>0.44342485734920783</v>
      </c>
      <c r="L55" s="166">
        <f t="shared" si="52"/>
        <v>0.42055117458299912</v>
      </c>
      <c r="M55" s="770">
        <f t="shared" ref="M55:N55" si="53">(M33-(600*8.75%/4))/(M10+M11-M12)</f>
        <v>0.41329473280784096</v>
      </c>
      <c r="N55" s="255">
        <f t="shared" si="53"/>
        <v>0.40193066726550902</v>
      </c>
      <c r="O55" s="225">
        <f>(O33-52.5)/(O10+O11-O12)</f>
        <v>0.3648073766807568</v>
      </c>
      <c r="P55" s="263">
        <f>(P33-52.5)/(P10+P11-P12)</f>
        <v>0.41181878301298885</v>
      </c>
    </row>
    <row r="56" spans="2:19" ht="24" customHeight="1" x14ac:dyDescent="0.2">
      <c r="B56" s="154" t="s">
        <v>227</v>
      </c>
      <c r="C56" s="161">
        <f>C41/C40</f>
        <v>0.12707371265678091</v>
      </c>
      <c r="D56" s="167">
        <f t="shared" ref="D56" si="54">D41/D40</f>
        <v>9.2555666144884877E-2</v>
      </c>
      <c r="E56" s="167">
        <f t="shared" ref="E56" si="55">E41/E40</f>
        <v>8.8307662842805099E-2</v>
      </c>
      <c r="F56" s="167">
        <f t="shared" ref="F56:H56" si="56">F41/F40</f>
        <v>6.7550540431296283E-2</v>
      </c>
      <c r="G56" s="167">
        <f t="shared" si="56"/>
        <v>6.6303389443239713E-2</v>
      </c>
      <c r="H56" s="167">
        <f t="shared" si="56"/>
        <v>5.538521689293889E-2</v>
      </c>
      <c r="I56" s="168">
        <f t="shared" ref="I56:J56" si="57">I41/I40</f>
        <v>5.4840640619781847E-2</v>
      </c>
      <c r="J56" s="167">
        <f t="shared" si="57"/>
        <v>3.4619186461279761E-2</v>
      </c>
      <c r="K56" s="167">
        <f t="shared" ref="K56:L56" si="58">K41/K40</f>
        <v>3.5019107129450201E-2</v>
      </c>
      <c r="L56" s="168">
        <f t="shared" si="58"/>
        <v>3.2905083893808466E-2</v>
      </c>
      <c r="M56" s="771">
        <f t="shared" ref="M56:N56" si="59">M41/M40</f>
        <v>3.2324782815762253E-2</v>
      </c>
      <c r="N56" s="901">
        <f t="shared" si="59"/>
        <v>2.636625325174578E-2</v>
      </c>
      <c r="O56" s="226">
        <f>O41/O40</f>
        <v>3.4619186461279761E-2</v>
      </c>
      <c r="P56" s="902">
        <f>P41/P40</f>
        <v>2.636625325174578E-2</v>
      </c>
    </row>
    <row r="57" spans="2:19" ht="24" customHeight="1" x14ac:dyDescent="0.2">
      <c r="B57" s="154" t="s">
        <v>216</v>
      </c>
      <c r="C57" s="169">
        <f>C10*4/((C39+78201)/2)</f>
        <v>1.4513781467414659E-2</v>
      </c>
      <c r="D57" s="163">
        <f t="shared" ref="D57:N57" si="60">D10*4/((D39+C39)/2)</f>
        <v>1.5170293643069429E-2</v>
      </c>
      <c r="E57" s="163">
        <f t="shared" si="60"/>
        <v>1.6086041285755897E-2</v>
      </c>
      <c r="F57" s="163">
        <f t="shared" si="60"/>
        <v>2.2115116287376942E-2</v>
      </c>
      <c r="G57" s="163">
        <f t="shared" si="60"/>
        <v>2.4186364552267556E-2</v>
      </c>
      <c r="H57" s="163">
        <f t="shared" si="60"/>
        <v>2.5730816441364001E-2</v>
      </c>
      <c r="I57" s="162">
        <f t="shared" si="60"/>
        <v>2.7206651241827556E-2</v>
      </c>
      <c r="J57" s="163">
        <f t="shared" si="60"/>
        <v>2.774100684837344E-2</v>
      </c>
      <c r="K57" s="163">
        <f t="shared" si="60"/>
        <v>2.7109835221081534E-2</v>
      </c>
      <c r="L57" s="162">
        <f t="shared" si="60"/>
        <v>2.7427644583798531E-2</v>
      </c>
      <c r="M57" s="769">
        <f t="shared" si="60"/>
        <v>2.7256105968659187E-2</v>
      </c>
      <c r="N57" s="254">
        <f t="shared" si="60"/>
        <v>2.6014731183636831E-2</v>
      </c>
      <c r="O57" s="224">
        <f>O10/((O39+F39)/2)</f>
        <v>2.6948753363111984E-2</v>
      </c>
      <c r="P57" s="262">
        <f>P10/((P39+J39)/2)</f>
        <v>2.7010053730853644E-2</v>
      </c>
    </row>
    <row r="58" spans="2:19" ht="24" customHeight="1" x14ac:dyDescent="0.2">
      <c r="B58" s="154" t="s">
        <v>207</v>
      </c>
      <c r="C58" s="169">
        <f>(C11-C12)*4/78793</f>
        <v>5.3669397179578896E-3</v>
      </c>
      <c r="D58" s="163">
        <f t="shared" ref="D58:J58" si="61">(D11-D12)*4/((D39+C39)/2)</f>
        <v>6.0353077361789877E-3</v>
      </c>
      <c r="E58" s="163">
        <f t="shared" si="61"/>
        <v>6.1026832960260268E-3</v>
      </c>
      <c r="F58" s="163">
        <f t="shared" si="61"/>
        <v>6.4960698551560841E-3</v>
      </c>
      <c r="G58" s="163">
        <f t="shared" si="61"/>
        <v>6.5840737238673152E-3</v>
      </c>
      <c r="H58" s="163">
        <f t="shared" si="61"/>
        <v>7.4589828407288193E-3</v>
      </c>
      <c r="I58" s="162">
        <f t="shared" si="61"/>
        <v>7.1672122963489203E-3</v>
      </c>
      <c r="J58" s="163">
        <f t="shared" si="61"/>
        <v>7.423482990557102E-3</v>
      </c>
      <c r="K58" s="163">
        <f>(K11-K12)*4/((K39+J39)/2)</f>
        <v>7.6108588474130484E-3</v>
      </c>
      <c r="L58" s="162">
        <f>(L11-L12)*4/((L39+K39)/2)</f>
        <v>8.6973303351758242E-3</v>
      </c>
      <c r="M58" s="769">
        <f>(M11-M12)*4/((M39+L39)/2)</f>
        <v>8.02473249484335E-3</v>
      </c>
      <c r="N58" s="254">
        <f>(N11-N12)*4/((N39+M39)/2)</f>
        <v>8.4781736122729774E-3</v>
      </c>
      <c r="O58" s="224">
        <f>(O11-O12)/((O39+F39)/2)</f>
        <v>7.3557888167839021E-3</v>
      </c>
      <c r="P58" s="262">
        <f>(P11-P12)/((P39+J39)/2)</f>
        <v>8.2245708890396601E-3</v>
      </c>
    </row>
    <row r="59" spans="2:19" ht="24" customHeight="1" x14ac:dyDescent="0.2">
      <c r="B59" s="154" t="s">
        <v>552</v>
      </c>
      <c r="C59" s="164">
        <f t="shared" ref="C59:P59" si="62">(C11-C12)/(C16-C12-C15)</f>
        <v>0.2278716893752443</v>
      </c>
      <c r="D59" s="165">
        <f t="shared" si="62"/>
        <v>0.30227873524746562</v>
      </c>
      <c r="E59" s="165">
        <f t="shared" si="62"/>
        <v>0.27184245666582163</v>
      </c>
      <c r="F59" s="165">
        <f t="shared" si="62"/>
        <v>0.2193427649864344</v>
      </c>
      <c r="G59" s="165">
        <f t="shared" si="62"/>
        <v>0.21090454535209704</v>
      </c>
      <c r="H59" s="165">
        <f t="shared" si="62"/>
        <v>0.2136113284731517</v>
      </c>
      <c r="I59" s="166">
        <f t="shared" si="62"/>
        <v>0.21429818061568795</v>
      </c>
      <c r="J59" s="165">
        <f t="shared" si="62"/>
        <v>0.19890799089161351</v>
      </c>
      <c r="K59" s="165">
        <f t="shared" si="62"/>
        <v>0.22879166450186805</v>
      </c>
      <c r="L59" s="166">
        <f t="shared" si="62"/>
        <v>0.23427481080104026</v>
      </c>
      <c r="M59" s="770">
        <f t="shared" si="62"/>
        <v>0.2199735638727531</v>
      </c>
      <c r="N59" s="255">
        <f t="shared" si="62"/>
        <v>0.22923195774617022</v>
      </c>
      <c r="O59" s="225">
        <f t="shared" si="62"/>
        <v>0.20912459232762992</v>
      </c>
      <c r="P59" s="263">
        <f t="shared" si="62"/>
        <v>0.22806977083356175</v>
      </c>
    </row>
    <row r="60" spans="2:19" ht="24" customHeight="1" thickBot="1" x14ac:dyDescent="0.25">
      <c r="B60" s="154" t="s">
        <v>479</v>
      </c>
      <c r="C60" s="164">
        <f t="shared" ref="C60:J60" si="63">-(C20-C21)/(C10+C11-C12)</f>
        <v>0.50550950490774482</v>
      </c>
      <c r="D60" s="164">
        <f t="shared" si="63"/>
        <v>0.48368386263337726</v>
      </c>
      <c r="E60" s="165">
        <f t="shared" si="63"/>
        <v>0.46443302284055094</v>
      </c>
      <c r="F60" s="170">
        <f t="shared" si="63"/>
        <v>0.37959555512107929</v>
      </c>
      <c r="G60" s="170">
        <f t="shared" si="63"/>
        <v>0.35680978271385166</v>
      </c>
      <c r="H60" s="170">
        <f t="shared" si="63"/>
        <v>0.31632961700937368</v>
      </c>
      <c r="I60" s="164">
        <f t="shared" si="63"/>
        <v>0.28970153784737124</v>
      </c>
      <c r="J60" s="170">
        <f t="shared" si="63"/>
        <v>0.28836267789389503</v>
      </c>
      <c r="K60" s="170">
        <f t="shared" ref="K60:O60" si="64">-(K20-K21)/(K10+K11-K12)</f>
        <v>0.29086052791391198</v>
      </c>
      <c r="L60" s="164">
        <f t="shared" si="64"/>
        <v>0.28633722182808591</v>
      </c>
      <c r="M60" s="772">
        <f t="shared" ref="M60:N60" si="65">-(M20-M21)/(M10+M11-M12)</f>
        <v>0.30021476478649661</v>
      </c>
      <c r="N60" s="256">
        <f t="shared" si="65"/>
        <v>0.33073514546851163</v>
      </c>
      <c r="O60" s="227">
        <f t="shared" si="64"/>
        <v>0.31088734741877966</v>
      </c>
      <c r="P60" s="264">
        <f>-(P20-P21)/(P10+P11-P12)</f>
        <v>0.3020268450842748</v>
      </c>
    </row>
    <row r="61" spans="2:19" ht="24" customHeight="1" x14ac:dyDescent="0.2">
      <c r="B61" s="206" t="s">
        <v>480</v>
      </c>
      <c r="C61" s="207">
        <v>5.0216679564972534E-3</v>
      </c>
      <c r="D61" s="207">
        <v>5.1457259302838121E-3</v>
      </c>
      <c r="E61" s="208">
        <v>4.9522019968672604E-3</v>
      </c>
      <c r="F61" s="209">
        <v>1.9413453091799828E-3</v>
      </c>
      <c r="G61" s="209">
        <v>4.0239996268915338E-3</v>
      </c>
      <c r="H61" s="209">
        <v>7.700620884655284E-3</v>
      </c>
      <c r="I61" s="207">
        <v>5.220907568522266E-3</v>
      </c>
      <c r="J61" s="209">
        <v>2.7274824723784387E-3</v>
      </c>
      <c r="K61" s="209">
        <v>1.6941793684807174E-3</v>
      </c>
      <c r="L61" s="207">
        <v>2.1094436135327844E-3</v>
      </c>
      <c r="M61" s="773">
        <v>3.3198332769754715E-3</v>
      </c>
      <c r="N61" s="257">
        <v>1.5852349911984274E-3</v>
      </c>
      <c r="O61" s="228">
        <v>4.8260713197193598E-3</v>
      </c>
      <c r="P61" s="265">
        <v>2.0800190028082192E-3</v>
      </c>
    </row>
    <row r="62" spans="2:19" ht="24" customHeight="1" x14ac:dyDescent="0.2">
      <c r="B62" s="154" t="s">
        <v>481</v>
      </c>
      <c r="C62" s="169">
        <f t="shared" ref="C62" si="66">-(C24-C25)/C42*4</f>
        <v>8.9094384980590389E-3</v>
      </c>
      <c r="D62" s="171">
        <f t="shared" ref="D62" si="67">-(D24-D25)/D42*4</f>
        <v>8.2257359705319808E-3</v>
      </c>
      <c r="E62" s="171">
        <f t="shared" ref="E62:J62" si="68">-(E24-E25)/E42*4</f>
        <v>8.1059406614046158E-3</v>
      </c>
      <c r="F62" s="171">
        <f t="shared" si="68"/>
        <v>7.8021491403028808E-3</v>
      </c>
      <c r="G62" s="171">
        <f t="shared" si="68"/>
        <v>8.4178368179442173E-3</v>
      </c>
      <c r="H62" s="171">
        <f t="shared" si="68"/>
        <v>1.1414616830149922E-2</v>
      </c>
      <c r="I62" s="169">
        <f t="shared" si="68"/>
        <v>8.3791619210455224E-3</v>
      </c>
      <c r="J62" s="171">
        <f t="shared" si="68"/>
        <v>5.7871639230150131E-3</v>
      </c>
      <c r="K62" s="171">
        <f t="shared" ref="K62:L62" si="69">-(K24-K25)/K42*4</f>
        <v>5.0896781987412026E-3</v>
      </c>
      <c r="L62" s="169">
        <f t="shared" si="69"/>
        <v>4.595459772637818E-3</v>
      </c>
      <c r="M62" s="774">
        <f>-(M24-M25)/M42*4</f>
        <v>5.4063996603971988E-3</v>
      </c>
      <c r="N62" s="258">
        <f>-(N24-N25)/N42*4</f>
        <v>4.1043913004892912E-3</v>
      </c>
      <c r="O62" s="229">
        <f>-(O24-O25)/O42</f>
        <v>8.3413636218061787E-3</v>
      </c>
      <c r="P62" s="266">
        <f>-(P24-P25)/P42</f>
        <v>4.5752646759431026E-3</v>
      </c>
    </row>
    <row r="63" spans="2:19" ht="24" customHeight="1" x14ac:dyDescent="0.2">
      <c r="B63" s="154" t="s">
        <v>574</v>
      </c>
      <c r="C63" s="161">
        <v>9.7720359906705107E-2</v>
      </c>
      <c r="D63" s="161">
        <v>9.5050723061205031E-2</v>
      </c>
      <c r="E63" s="161">
        <v>0.10401128214699894</v>
      </c>
      <c r="F63" s="161">
        <v>0.11620325546744002</v>
      </c>
      <c r="G63" s="161">
        <f>'Capital adequacy'!G33</f>
        <v>0.12160683641678371</v>
      </c>
      <c r="H63" s="161">
        <f>'Capital adequacy'!H24</f>
        <v>0.12337089117031681</v>
      </c>
      <c r="I63" s="160">
        <v>0.12874425277295676</v>
      </c>
      <c r="J63" s="161">
        <v>0.13289708415017934</v>
      </c>
      <c r="K63" s="161">
        <v>0.13679298459395386</v>
      </c>
      <c r="L63" s="160">
        <v>0.14178005032744298</v>
      </c>
      <c r="M63" s="768">
        <v>0.14709195899103877</v>
      </c>
      <c r="N63" s="253">
        <v>0.14674732270715049</v>
      </c>
      <c r="O63" s="223">
        <f>J63</f>
        <v>0.13289708415017934</v>
      </c>
      <c r="P63" s="261">
        <f>N63</f>
        <v>0.14674732270715049</v>
      </c>
      <c r="R63" s="814"/>
    </row>
    <row r="64" spans="2:19" s="139" customFormat="1" ht="24" customHeight="1" x14ac:dyDescent="0.2">
      <c r="B64" s="176" t="s">
        <v>575</v>
      </c>
      <c r="C64" s="177">
        <v>0.14550610577225456</v>
      </c>
      <c r="D64" s="177">
        <v>0.14306420459819125</v>
      </c>
      <c r="E64" s="177">
        <v>0.15149375077383412</v>
      </c>
      <c r="F64" s="177">
        <v>0.16515096189960904</v>
      </c>
      <c r="G64" s="177">
        <f>'Capital adequacy'!G34</f>
        <v>0.16966286420852666</v>
      </c>
      <c r="H64" s="177">
        <f>'Capital adequacy'!H25</f>
        <v>0.17106045000593989</v>
      </c>
      <c r="I64" s="178">
        <v>0.1755583398694478</v>
      </c>
      <c r="J64" s="177">
        <v>0.18189260602297253</v>
      </c>
      <c r="K64" s="177">
        <v>0.18520436549105904</v>
      </c>
      <c r="L64" s="178">
        <v>0.19447670160009092</v>
      </c>
      <c r="M64" s="775">
        <v>0.19928908409056398</v>
      </c>
      <c r="N64" s="259">
        <v>0.19944753825774791</v>
      </c>
      <c r="O64" s="230">
        <f>J64</f>
        <v>0.18189260602297253</v>
      </c>
      <c r="P64" s="267">
        <f>N64</f>
        <v>0.19944753825774791</v>
      </c>
      <c r="R64" s="814"/>
    </row>
    <row r="65" spans="2:16" ht="15.75" customHeight="1" x14ac:dyDescent="0.2">
      <c r="B65" s="936"/>
      <c r="C65" s="936"/>
      <c r="D65" s="936"/>
      <c r="E65" s="936"/>
      <c r="F65" s="936"/>
      <c r="G65" s="936"/>
      <c r="H65" s="936"/>
      <c r="I65" s="140"/>
      <c r="J65" s="140"/>
      <c r="K65" s="140"/>
      <c r="L65" s="140"/>
      <c r="M65" s="140"/>
      <c r="N65" s="140"/>
      <c r="O65" s="140"/>
      <c r="P65" s="140"/>
    </row>
    <row r="66" spans="2:16" ht="15.75" customHeight="1" x14ac:dyDescent="0.2">
      <c r="B66" s="172" t="s">
        <v>556</v>
      </c>
      <c r="C66" s="140"/>
      <c r="D66" s="140"/>
      <c r="E66" s="140"/>
      <c r="F66" s="140"/>
      <c r="G66" s="140"/>
      <c r="H66" s="140"/>
      <c r="I66" s="140"/>
      <c r="J66" s="140"/>
      <c r="K66" s="140"/>
      <c r="L66" s="140"/>
      <c r="M66" s="140"/>
      <c r="N66" s="140"/>
      <c r="O66" s="140"/>
      <c r="P66" s="140"/>
    </row>
    <row r="67" spans="2:16" ht="15" customHeight="1" x14ac:dyDescent="0.2">
      <c r="B67" s="172" t="s">
        <v>557</v>
      </c>
      <c r="C67" s="124"/>
      <c r="D67" s="124"/>
      <c r="E67" s="124"/>
      <c r="F67" s="124"/>
      <c r="G67" s="124"/>
      <c r="H67" s="124"/>
      <c r="I67" s="124"/>
      <c r="J67" s="124"/>
      <c r="K67" s="124"/>
      <c r="L67" s="124"/>
      <c r="M67" s="124"/>
      <c r="N67" s="124"/>
      <c r="O67" s="124"/>
      <c r="P67" s="124"/>
    </row>
    <row r="68" spans="2:16" ht="15" customHeight="1" x14ac:dyDescent="0.2">
      <c r="B68" s="172" t="s">
        <v>576</v>
      </c>
      <c r="C68" s="124"/>
      <c r="D68" s="124"/>
      <c r="E68" s="124"/>
      <c r="F68" s="124"/>
      <c r="G68" s="124"/>
      <c r="H68" s="124"/>
      <c r="I68" s="124"/>
      <c r="J68" s="124"/>
      <c r="K68" s="124"/>
      <c r="L68" s="124"/>
      <c r="M68" s="124"/>
      <c r="N68" s="124"/>
      <c r="O68" s="124"/>
      <c r="P68" s="124"/>
    </row>
    <row r="69" spans="2:16" ht="15" customHeight="1" x14ac:dyDescent="0.2">
      <c r="B69" s="172" t="s">
        <v>562</v>
      </c>
      <c r="C69" s="124"/>
      <c r="D69" s="124"/>
      <c r="E69" s="124"/>
      <c r="F69" s="124"/>
      <c r="G69" s="124"/>
      <c r="H69" s="124"/>
      <c r="I69" s="124"/>
      <c r="J69" s="124"/>
      <c r="K69" s="124"/>
      <c r="L69" s="124"/>
      <c r="M69" s="124"/>
      <c r="N69" s="124"/>
      <c r="O69" s="124"/>
      <c r="P69" s="124"/>
    </row>
    <row r="70" spans="2:16" ht="15" customHeight="1" x14ac:dyDescent="0.2">
      <c r="B70" s="172" t="s">
        <v>606</v>
      </c>
      <c r="C70" s="124"/>
      <c r="D70" s="124"/>
      <c r="E70" s="124"/>
      <c r="F70" s="124"/>
      <c r="G70" s="124"/>
      <c r="H70" s="124"/>
      <c r="I70" s="124"/>
      <c r="J70" s="124"/>
      <c r="K70" s="124"/>
      <c r="L70" s="124"/>
      <c r="M70" s="124"/>
      <c r="N70" s="124"/>
      <c r="O70" s="124"/>
      <c r="P70" s="124"/>
    </row>
    <row r="71" spans="2:16" ht="15" customHeight="1" x14ac:dyDescent="0.2">
      <c r="B71" s="172" t="s">
        <v>563</v>
      </c>
      <c r="C71" s="124"/>
      <c r="D71" s="124"/>
      <c r="E71" s="124"/>
      <c r="F71" s="124"/>
      <c r="G71" s="124"/>
      <c r="H71" s="124"/>
      <c r="I71" s="124"/>
      <c r="J71" s="124"/>
      <c r="K71" s="124"/>
      <c r="L71" s="124"/>
      <c r="M71" s="124"/>
      <c r="N71" s="124"/>
      <c r="O71" s="124"/>
      <c r="P71" s="124"/>
    </row>
    <row r="72" spans="2:16" ht="33" customHeight="1" x14ac:dyDescent="0.2">
      <c r="B72" s="938" t="s">
        <v>567</v>
      </c>
      <c r="C72" s="938"/>
      <c r="D72" s="938"/>
      <c r="E72" s="938"/>
      <c r="F72" s="938"/>
      <c r="G72" s="938"/>
      <c r="H72" s="938"/>
      <c r="I72" s="938"/>
      <c r="J72" s="938"/>
      <c r="K72" s="938"/>
      <c r="L72" s="938"/>
      <c r="M72" s="938"/>
      <c r="N72" s="938"/>
      <c r="O72" s="938"/>
      <c r="P72" s="938"/>
    </row>
    <row r="73" spans="2:16" ht="17.25" customHeight="1" x14ac:dyDescent="0.2">
      <c r="B73" s="172" t="s">
        <v>572</v>
      </c>
      <c r="C73" s="173"/>
      <c r="D73" s="173"/>
      <c r="E73" s="173"/>
      <c r="F73" s="173"/>
      <c r="G73" s="173"/>
      <c r="H73" s="173"/>
      <c r="I73" s="173"/>
      <c r="J73" s="173"/>
      <c r="K73" s="173"/>
      <c r="L73" s="173"/>
      <c r="M73" s="173"/>
      <c r="N73" s="173"/>
      <c r="O73" s="173"/>
      <c r="P73" s="173"/>
    </row>
    <row r="74" spans="2:16" ht="15" customHeight="1" x14ac:dyDescent="0.2">
      <c r="B74" s="172" t="s">
        <v>573</v>
      </c>
      <c r="C74" s="124"/>
      <c r="D74" s="124"/>
      <c r="E74" s="124"/>
      <c r="F74" s="124"/>
      <c r="G74" s="124"/>
      <c r="H74" s="124"/>
      <c r="I74" s="124"/>
      <c r="J74" s="124"/>
      <c r="K74" s="124"/>
      <c r="L74" s="124"/>
      <c r="M74" s="124"/>
      <c r="N74" s="124"/>
      <c r="O74" s="124"/>
      <c r="P74" s="124"/>
    </row>
    <row r="75" spans="2:16" ht="75.75" customHeight="1" x14ac:dyDescent="0.2">
      <c r="B75" s="938" t="s">
        <v>605</v>
      </c>
      <c r="C75" s="938"/>
      <c r="D75" s="938"/>
      <c r="E75" s="938"/>
      <c r="F75" s="938"/>
      <c r="G75" s="938"/>
      <c r="H75" s="938"/>
      <c r="I75" s="938"/>
      <c r="J75" s="938"/>
      <c r="K75" s="938"/>
      <c r="L75" s="938"/>
      <c r="M75" s="938"/>
      <c r="N75" s="938"/>
      <c r="O75" s="938"/>
      <c r="P75" s="938"/>
    </row>
  </sheetData>
  <mergeCells count="4">
    <mergeCell ref="B65:H65"/>
    <mergeCell ref="B5:P5"/>
    <mergeCell ref="B75:P75"/>
    <mergeCell ref="B72:P72"/>
  </mergeCells>
  <phoneticPr fontId="113" type="noConversion"/>
  <hyperlinks>
    <hyperlink ref="P2" location="'Cover '!A1" display="Back to Cover" xr:uid="{18E92BD3-11E2-457C-846A-4EB89AC459B6}"/>
  </hyperlinks>
  <printOptions horizontalCentered="1" verticalCentered="1"/>
  <pageMargins left="0" right="0" top="0" bottom="0" header="0" footer="0"/>
  <pageSetup paperSize="8" scale="50" orientation="portrait" r:id="rId1"/>
  <headerFooter alignWithMargins="0"/>
  <ignoredErrors>
    <ignoredError sqref="O5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V69"/>
  <sheetViews>
    <sheetView showGridLines="0" view="pageBreakPreview" zoomScale="85" zoomScaleNormal="90" zoomScaleSheetLayoutView="85" workbookViewId="0">
      <pane xSplit="2" ySplit="9" topLeftCell="G10" activePane="bottomRight" state="frozen"/>
      <selection pane="topRight" activeCell="C1" sqref="C1"/>
      <selection pane="bottomLeft" activeCell="A10" sqref="A10"/>
      <selection pane="bottomRight" activeCell="S37" sqref="S37"/>
    </sheetView>
  </sheetViews>
  <sheetFormatPr defaultColWidth="9.140625" defaultRowHeight="12.75" x14ac:dyDescent="0.2"/>
  <cols>
    <col min="1" max="1" width="2.42578125" style="10" customWidth="1"/>
    <col min="2" max="2" width="80.7109375" style="10" customWidth="1"/>
    <col min="3" max="16" width="17.7109375" style="10" customWidth="1"/>
    <col min="17" max="17" width="3.5703125" style="10" customWidth="1"/>
    <col min="18" max="16384" width="9.140625" style="10"/>
  </cols>
  <sheetData>
    <row r="1" spans="1:16" s="6" customFormat="1" ht="15.75" customHeight="1" x14ac:dyDescent="0.2">
      <c r="B1" s="10"/>
      <c r="C1" s="10"/>
      <c r="D1" s="10"/>
      <c r="E1" s="10"/>
      <c r="F1" s="10"/>
      <c r="G1" s="10"/>
      <c r="H1" s="10"/>
      <c r="I1" s="10"/>
      <c r="J1" s="10"/>
      <c r="K1" s="10"/>
      <c r="L1" s="10"/>
      <c r="M1" s="10"/>
      <c r="N1" s="10"/>
      <c r="O1" s="10"/>
      <c r="P1" s="10"/>
    </row>
    <row r="2" spans="1:16" s="6" customFormat="1" ht="15.75" customHeight="1" x14ac:dyDescent="0.2">
      <c r="B2" s="10"/>
      <c r="L2" s="120"/>
      <c r="M2" s="120"/>
      <c r="N2" s="120"/>
      <c r="O2" s="120"/>
      <c r="P2" s="122" t="s">
        <v>20</v>
      </c>
    </row>
    <row r="3" spans="1:16" s="6" customFormat="1" ht="15.75" customHeight="1" x14ac:dyDescent="0.2">
      <c r="B3" s="10"/>
      <c r="C3" s="8"/>
      <c r="D3" s="8"/>
      <c r="E3" s="8"/>
      <c r="F3" s="8"/>
      <c r="G3" s="8"/>
      <c r="H3" s="8"/>
      <c r="I3" s="8"/>
      <c r="J3" s="8"/>
      <c r="K3" s="8"/>
      <c r="L3" s="123"/>
      <c r="M3" s="123"/>
      <c r="N3" s="123"/>
      <c r="O3" s="123"/>
      <c r="P3" s="123"/>
    </row>
    <row r="4" spans="1:16" ht="15.75" customHeight="1" x14ac:dyDescent="0.2"/>
    <row r="5" spans="1:16" s="17" customFormat="1" ht="28.5" x14ac:dyDescent="0.2">
      <c r="A5" s="16"/>
      <c r="B5" s="937" t="s">
        <v>172</v>
      </c>
      <c r="C5" s="937"/>
      <c r="D5" s="937"/>
      <c r="E5" s="937"/>
      <c r="F5" s="937"/>
      <c r="G5" s="937"/>
      <c r="H5" s="937"/>
      <c r="I5" s="937"/>
      <c r="J5" s="937"/>
      <c r="K5" s="937"/>
      <c r="L5" s="937"/>
      <c r="M5" s="937"/>
      <c r="N5" s="937"/>
      <c r="O5" s="937"/>
      <c r="P5" s="937"/>
    </row>
    <row r="6" spans="1:16" s="17" customFormat="1" ht="9" customHeight="1" x14ac:dyDescent="0.2">
      <c r="A6" s="16"/>
      <c r="B6" s="18"/>
      <c r="C6" s="18"/>
      <c r="D6" s="18"/>
      <c r="E6" s="18"/>
      <c r="F6" s="18"/>
      <c r="G6" s="18"/>
      <c r="H6" s="18"/>
      <c r="I6" s="18"/>
      <c r="J6" s="18"/>
      <c r="K6" s="18"/>
      <c r="L6" s="18"/>
      <c r="M6" s="18"/>
      <c r="N6" s="18"/>
      <c r="O6" s="18"/>
      <c r="P6" s="18"/>
    </row>
    <row r="7" spans="1:16" s="6" customFormat="1" ht="9" customHeight="1" x14ac:dyDescent="0.2">
      <c r="B7" s="10"/>
      <c r="C7" s="32"/>
      <c r="D7" s="32"/>
      <c r="E7" s="32"/>
      <c r="F7" s="32"/>
      <c r="G7" s="32"/>
      <c r="H7" s="32"/>
      <c r="I7" s="32"/>
      <c r="J7" s="32"/>
      <c r="K7" s="32"/>
      <c r="L7" s="32"/>
      <c r="M7" s="32"/>
      <c r="N7" s="32"/>
      <c r="O7" s="32"/>
      <c r="P7" s="32"/>
    </row>
    <row r="8" spans="1:16" s="6" customFormat="1" ht="15" customHeight="1" x14ac:dyDescent="0.2">
      <c r="B8" s="148" t="s">
        <v>0</v>
      </c>
      <c r="C8" s="99"/>
      <c r="D8" s="99"/>
      <c r="E8" s="99"/>
      <c r="F8" s="99"/>
      <c r="G8" s="99"/>
      <c r="H8" s="99"/>
      <c r="I8" s="99"/>
      <c r="J8" s="99"/>
      <c r="K8" s="99"/>
      <c r="L8" s="99"/>
      <c r="M8" s="99"/>
      <c r="N8" s="99"/>
      <c r="O8" s="99"/>
      <c r="P8" s="99"/>
    </row>
    <row r="9" spans="1:16" s="9" customFormat="1" ht="30" customHeight="1" x14ac:dyDescent="0.2">
      <c r="B9" s="149" t="s">
        <v>331</v>
      </c>
      <c r="C9" s="150" t="s">
        <v>73</v>
      </c>
      <c r="D9" s="150" t="s">
        <v>132</v>
      </c>
      <c r="E9" s="150" t="s">
        <v>177</v>
      </c>
      <c r="F9" s="150" t="s">
        <v>183</v>
      </c>
      <c r="G9" s="150" t="s">
        <v>200</v>
      </c>
      <c r="H9" s="150" t="s">
        <v>203</v>
      </c>
      <c r="I9" s="150" t="s">
        <v>211</v>
      </c>
      <c r="J9" s="150" t="s">
        <v>333</v>
      </c>
      <c r="K9" s="150" t="s">
        <v>350</v>
      </c>
      <c r="L9" s="150" t="s">
        <v>450</v>
      </c>
      <c r="M9" s="150" t="s">
        <v>511</v>
      </c>
      <c r="N9" s="150" t="s">
        <v>549</v>
      </c>
      <c r="O9" s="150" t="s">
        <v>550</v>
      </c>
      <c r="P9" s="188" t="s">
        <v>551</v>
      </c>
    </row>
    <row r="10" spans="1:16" s="9" customFormat="1" ht="24" customHeight="1" x14ac:dyDescent="0.2">
      <c r="B10" s="281" t="s">
        <v>1</v>
      </c>
      <c r="C10" s="268">
        <v>285.89500000000004</v>
      </c>
      <c r="D10" s="268">
        <v>305.56799999999998</v>
      </c>
      <c r="E10" s="268">
        <v>330.59200000000004</v>
      </c>
      <c r="F10" s="268">
        <v>430.64700000000005</v>
      </c>
      <c r="G10" s="268">
        <v>446.86599999999999</v>
      </c>
      <c r="H10" s="268">
        <v>487.8</v>
      </c>
      <c r="I10" s="268">
        <v>531.351</v>
      </c>
      <c r="J10" s="268">
        <v>536.64499999999998</v>
      </c>
      <c r="K10" s="268">
        <v>517.62899999999991</v>
      </c>
      <c r="L10" s="778">
        <v>527.55799999999999</v>
      </c>
      <c r="M10" s="778">
        <v>529.50533123000014</v>
      </c>
      <c r="N10" s="276">
        <v>513.51499999999999</v>
      </c>
      <c r="O10" s="268">
        <v>2002.6619999999998</v>
      </c>
      <c r="P10" s="289">
        <v>2088.2073312299999</v>
      </c>
    </row>
    <row r="11" spans="1:16" s="9" customFormat="1" ht="24" customHeight="1" x14ac:dyDescent="0.2">
      <c r="B11" s="151" t="s">
        <v>452</v>
      </c>
      <c r="C11" s="152">
        <v>105.719320299264</v>
      </c>
      <c r="D11" s="152">
        <v>121.566329414544</v>
      </c>
      <c r="E11" s="152">
        <v>125.41919048699201</v>
      </c>
      <c r="F11" s="152">
        <v>126.49777457919998</v>
      </c>
      <c r="G11" s="152">
        <v>121.64700000000001</v>
      </c>
      <c r="H11" s="268">
        <v>141.40600000000001</v>
      </c>
      <c r="I11" s="268">
        <v>139.97699999999998</v>
      </c>
      <c r="J11" s="268">
        <v>143.60599999999999</v>
      </c>
      <c r="K11" s="268">
        <v>145.32</v>
      </c>
      <c r="L11" s="268">
        <v>167.289108</v>
      </c>
      <c r="M11" s="778">
        <v>155.89676098999999</v>
      </c>
      <c r="N11" s="276">
        <v>167.35399999999998</v>
      </c>
      <c r="O11" s="268">
        <v>546.63599999999997</v>
      </c>
      <c r="P11" s="289">
        <v>635.85986899</v>
      </c>
    </row>
    <row r="12" spans="1:16" s="9" customFormat="1" ht="24" customHeight="1" x14ac:dyDescent="0.2">
      <c r="B12" s="282" t="s">
        <v>173</v>
      </c>
      <c r="C12" s="269">
        <v>-197.96476116926397</v>
      </c>
      <c r="D12" s="269">
        <v>-206.597982314544</v>
      </c>
      <c r="E12" s="269">
        <v>-211.78665564699202</v>
      </c>
      <c r="F12" s="269">
        <v>-211.4896799892</v>
      </c>
      <c r="G12" s="269">
        <v>-202.85099999999997</v>
      </c>
      <c r="H12" s="268">
        <v>-199.03649299999998</v>
      </c>
      <c r="I12" s="268">
        <v>-194.48475400000004</v>
      </c>
      <c r="J12" s="268">
        <v>-196.15899999999999</v>
      </c>
      <c r="K12" s="268">
        <v>-192.82569612</v>
      </c>
      <c r="L12" s="268">
        <v>-198.9605905</v>
      </c>
      <c r="M12" s="778">
        <v>-205.76782789999999</v>
      </c>
      <c r="N12" s="276">
        <v>-225.18730776000001</v>
      </c>
      <c r="O12" s="268">
        <v>-792.54449299999999</v>
      </c>
      <c r="P12" s="289">
        <v>-822.74142228000005</v>
      </c>
    </row>
    <row r="13" spans="1:16" s="9" customFormat="1" ht="24" customHeight="1" x14ac:dyDescent="0.2">
      <c r="B13" s="376" t="s">
        <v>239</v>
      </c>
      <c r="C13" s="270">
        <v>-91.200999999999993</v>
      </c>
      <c r="D13" s="270">
        <v>-94.555000000000007</v>
      </c>
      <c r="E13" s="270">
        <v>-101.38835</v>
      </c>
      <c r="F13" s="270">
        <v>-101.642</v>
      </c>
      <c r="G13" s="270">
        <v>-93.546999999999997</v>
      </c>
      <c r="H13" s="270">
        <v>-94.395492999999988</v>
      </c>
      <c r="I13" s="270">
        <v>-94.291753999999997</v>
      </c>
      <c r="J13" s="270">
        <v>-104.846</v>
      </c>
      <c r="K13" s="270">
        <v>-91.264696119999996</v>
      </c>
      <c r="L13" s="270">
        <v>-96.511590500000011</v>
      </c>
      <c r="M13" s="868">
        <v>-99.817747249999996</v>
      </c>
      <c r="N13" s="807">
        <v>-113.06530776</v>
      </c>
      <c r="O13" s="270">
        <v>-387.09349299999997</v>
      </c>
      <c r="P13" s="808">
        <v>-400.65934162999997</v>
      </c>
    </row>
    <row r="14" spans="1:16" s="9" customFormat="1" ht="24" customHeight="1" x14ac:dyDescent="0.2">
      <c r="B14" s="376" t="s">
        <v>218</v>
      </c>
      <c r="C14" s="270">
        <v>-81.31903204926401</v>
      </c>
      <c r="D14" s="270">
        <v>-87.151982314544</v>
      </c>
      <c r="E14" s="270">
        <v>-85.185305646991992</v>
      </c>
      <c r="F14" s="270">
        <v>-83.882679989199985</v>
      </c>
      <c r="G14" s="270">
        <v>-83.156999999999996</v>
      </c>
      <c r="H14" s="270">
        <v>-78.429000000000002</v>
      </c>
      <c r="I14" s="270">
        <v>-73.708000000000013</v>
      </c>
      <c r="J14" s="270">
        <v>-64.234999999999999</v>
      </c>
      <c r="K14" s="270">
        <v>-72.945999999999998</v>
      </c>
      <c r="L14" s="270">
        <v>-73.254999999999995</v>
      </c>
      <c r="M14" s="868">
        <v>-75.398843909999997</v>
      </c>
      <c r="N14" s="807">
        <v>-81.564000000000007</v>
      </c>
      <c r="O14" s="270">
        <v>-300.02900000000005</v>
      </c>
      <c r="P14" s="809">
        <v>-303.16384391000003</v>
      </c>
    </row>
    <row r="15" spans="1:16" s="9" customFormat="1" ht="24" customHeight="1" x14ac:dyDescent="0.2">
      <c r="B15" s="376" t="s">
        <v>240</v>
      </c>
      <c r="C15" s="270">
        <v>-25.444729119999998</v>
      </c>
      <c r="D15" s="270">
        <v>-24.890999999999998</v>
      </c>
      <c r="E15" s="270">
        <v>-25.213000000000001</v>
      </c>
      <c r="F15" s="270">
        <v>-25.965</v>
      </c>
      <c r="G15" s="270">
        <v>-26.146999999999998</v>
      </c>
      <c r="H15" s="270">
        <v>-26.212</v>
      </c>
      <c r="I15" s="270">
        <v>-26.484999999999999</v>
      </c>
      <c r="J15" s="270">
        <v>-27.077999999999999</v>
      </c>
      <c r="K15" s="270">
        <v>-28.614999999999998</v>
      </c>
      <c r="L15" s="270">
        <v>-29.193999999999999</v>
      </c>
      <c r="M15" s="868">
        <v>-30.551236739999993</v>
      </c>
      <c r="N15" s="807">
        <v>-30.558</v>
      </c>
      <c r="O15" s="270">
        <v>-105.922</v>
      </c>
      <c r="P15" s="291">
        <v>-118.91823674</v>
      </c>
    </row>
    <row r="16" spans="1:16" s="9" customFormat="1" ht="24" customHeight="1" x14ac:dyDescent="0.2">
      <c r="B16" s="282" t="s">
        <v>241</v>
      </c>
      <c r="C16" s="152">
        <v>-44.036208999999992</v>
      </c>
      <c r="D16" s="152">
        <v>-45.59800000000002</v>
      </c>
      <c r="E16" s="152">
        <v>-44.684999999999988</v>
      </c>
      <c r="F16" s="152">
        <v>-17.424000000000014</v>
      </c>
      <c r="G16" s="152">
        <v>-35.677000000000007</v>
      </c>
      <c r="H16" s="268">
        <v>-68.966475719999991</v>
      </c>
      <c r="I16" s="268">
        <v>-47.152999999999992</v>
      </c>
      <c r="J16" s="268">
        <v>-24.976000000000006</v>
      </c>
      <c r="K16" s="268">
        <v>-15.423</v>
      </c>
      <c r="L16" s="268">
        <v>-19.857999999999997</v>
      </c>
      <c r="M16" s="778">
        <v>-31.755784480000003</v>
      </c>
      <c r="N16" s="276">
        <v>-15.779000000000012</v>
      </c>
      <c r="O16" s="268">
        <v>-176.77247571999999</v>
      </c>
      <c r="P16" s="805">
        <v>-82.815784480000005</v>
      </c>
    </row>
    <row r="17" spans="2:19" s="9" customFormat="1" ht="24" customHeight="1" x14ac:dyDescent="0.2">
      <c r="B17" s="282" t="s">
        <v>352</v>
      </c>
      <c r="C17" s="271">
        <v>-29.140056999999999</v>
      </c>
      <c r="D17" s="269">
        <v>-21.292999999999999</v>
      </c>
      <c r="E17" s="269">
        <v>-19.511053</v>
      </c>
      <c r="F17" s="269">
        <v>-39.053965949999998</v>
      </c>
      <c r="G17" s="269">
        <v>-26.088285000000003</v>
      </c>
      <c r="H17" s="268">
        <v>-20.325688550000002</v>
      </c>
      <c r="I17" s="268">
        <v>-17.27913315</v>
      </c>
      <c r="J17" s="268">
        <v>-16.852737560000001</v>
      </c>
      <c r="K17" s="268">
        <v>-20.556513000000002</v>
      </c>
      <c r="L17" s="268">
        <v>-14.782999999999999</v>
      </c>
      <c r="M17" s="778">
        <v>-11.299293</v>
      </c>
      <c r="N17" s="276">
        <v>-15.120611999999999</v>
      </c>
      <c r="O17" s="268">
        <v>-80.54584426000001</v>
      </c>
      <c r="P17" s="289">
        <v>-61.759418000000004</v>
      </c>
    </row>
    <row r="18" spans="2:19" s="9" customFormat="1" ht="24" customHeight="1" x14ac:dyDescent="0.2">
      <c r="B18" s="282" t="s">
        <v>351</v>
      </c>
      <c r="C18" s="271">
        <v>-4.9527340000000004</v>
      </c>
      <c r="D18" s="269">
        <v>-6</v>
      </c>
      <c r="E18" s="269">
        <v>-8.9459470000000003</v>
      </c>
      <c r="F18" s="269">
        <v>-13.54803405</v>
      </c>
      <c r="G18" s="269">
        <v>-12.867715</v>
      </c>
      <c r="H18" s="268">
        <v>-12.93672172</v>
      </c>
      <c r="I18" s="268">
        <v>-11.244866849999999</v>
      </c>
      <c r="J18" s="268">
        <v>-11.165262439999999</v>
      </c>
      <c r="K18" s="268">
        <v>-10.354487000000001</v>
      </c>
      <c r="L18" s="268">
        <v>-8.6199999999999992</v>
      </c>
      <c r="M18" s="778">
        <v>-8.6597069999999992</v>
      </c>
      <c r="N18" s="276">
        <v>-9.9543879999999998</v>
      </c>
      <c r="O18" s="268">
        <v>-48.214566009999999</v>
      </c>
      <c r="P18" s="805">
        <v>-37.588582000000002</v>
      </c>
    </row>
    <row r="19" spans="2:19" s="9" customFormat="1" ht="24" customHeight="1" x14ac:dyDescent="0.2">
      <c r="B19" s="151" t="s">
        <v>453</v>
      </c>
      <c r="C19" s="152">
        <v>-3.3130000000000011</v>
      </c>
      <c r="D19" s="152">
        <v>-9.418000000000001</v>
      </c>
      <c r="E19" s="152">
        <v>-19.056999999999999</v>
      </c>
      <c r="F19" s="152">
        <v>-38.635000000000005</v>
      </c>
      <c r="G19" s="152">
        <v>-10.359000000000002</v>
      </c>
      <c r="H19" s="268">
        <v>-32.141000000000005</v>
      </c>
      <c r="I19" s="268">
        <v>-17.818999999999996</v>
      </c>
      <c r="J19" s="268">
        <v>-38.191000000000003</v>
      </c>
      <c r="K19" s="268">
        <v>-28.539000000000001</v>
      </c>
      <c r="L19" s="268">
        <v>-15.302</v>
      </c>
      <c r="M19" s="778">
        <v>-12.436441019999997</v>
      </c>
      <c r="N19" s="276">
        <v>-22.956999999999994</v>
      </c>
      <c r="O19" s="268">
        <v>-98.51</v>
      </c>
      <c r="P19" s="806">
        <v>-79.234441019999991</v>
      </c>
    </row>
    <row r="20" spans="2:19" s="9" customFormat="1" ht="24" customHeight="1" x14ac:dyDescent="0.2">
      <c r="B20" s="282" t="s">
        <v>242</v>
      </c>
      <c r="C20" s="269">
        <v>-4.4249999999999998</v>
      </c>
      <c r="D20" s="269">
        <v>-4.9989999999999997</v>
      </c>
      <c r="E20" s="269">
        <v>0.27700000000000002</v>
      </c>
      <c r="F20" s="269">
        <v>12.239999999999998</v>
      </c>
      <c r="G20" s="269">
        <v>-10.638999999999999</v>
      </c>
      <c r="H20" s="268">
        <v>-11.848000000000001</v>
      </c>
      <c r="I20" s="268">
        <v>15.715</v>
      </c>
      <c r="J20" s="268">
        <v>-8.4480000000000004</v>
      </c>
      <c r="K20" s="268">
        <v>22.515000000000001</v>
      </c>
      <c r="L20" s="778">
        <v>-12.048</v>
      </c>
      <c r="M20" s="271">
        <v>-4.3310000000000004</v>
      </c>
      <c r="N20" s="276">
        <v>-1.2849999999999999</v>
      </c>
      <c r="O20" s="268">
        <v>-15.220000000000002</v>
      </c>
      <c r="P20" s="289">
        <v>4.851</v>
      </c>
    </row>
    <row r="21" spans="2:19" s="9" customFormat="1" ht="24" customHeight="1" x14ac:dyDescent="0.2">
      <c r="B21" s="888" t="s">
        <v>584</v>
      </c>
      <c r="C21" s="885">
        <f t="shared" ref="C21:H21" si="0">SUM(C10:C12)+SUM(C16:C20)</f>
        <v>107.78255913000005</v>
      </c>
      <c r="D21" s="885">
        <f t="shared" si="0"/>
        <v>133.22834709999995</v>
      </c>
      <c r="E21" s="885">
        <f t="shared" si="0"/>
        <v>152.30253484000005</v>
      </c>
      <c r="F21" s="885">
        <f t="shared" si="0"/>
        <v>249.23409458999996</v>
      </c>
      <c r="G21" s="885">
        <f t="shared" si="0"/>
        <v>270.03100000000001</v>
      </c>
      <c r="H21" s="885">
        <f t="shared" si="0"/>
        <v>283.95162101000005</v>
      </c>
      <c r="I21" s="885">
        <f t="shared" ref="I21:O21" si="1">SUM(I10:I12)+SUM(I16:I20)</f>
        <v>399.06224599999996</v>
      </c>
      <c r="J21" s="885">
        <f t="shared" si="1"/>
        <v>384.45899999999995</v>
      </c>
      <c r="K21" s="885">
        <f t="shared" si="1"/>
        <v>417.76530387999986</v>
      </c>
      <c r="L21" s="885">
        <f t="shared" si="1"/>
        <v>425.27551749999998</v>
      </c>
      <c r="M21" s="885">
        <f t="shared" ref="M21" si="2">SUM(M10:M12)+SUM(M16:M20)</f>
        <v>411.15203882000014</v>
      </c>
      <c r="N21" s="885">
        <f>SUM(N10:N12)+SUM(N16:N20)</f>
        <v>390.5856922399999</v>
      </c>
      <c r="O21" s="885">
        <f t="shared" si="1"/>
        <v>1337.4906210099998</v>
      </c>
      <c r="P21" s="900">
        <f>SUM(P10:P12)+SUM(P16:P20)-30</f>
        <v>1614.7785524399999</v>
      </c>
    </row>
    <row r="22" spans="2:19" s="9" customFormat="1" ht="24" customHeight="1" x14ac:dyDescent="0.2">
      <c r="B22" s="281" t="s">
        <v>141</v>
      </c>
      <c r="C22" s="268">
        <v>-22.04</v>
      </c>
      <c r="D22" s="268">
        <v>-0.28899999999999998</v>
      </c>
      <c r="E22" s="268">
        <v>-55.845999999999997</v>
      </c>
      <c r="F22" s="268">
        <v>-61.52</v>
      </c>
      <c r="G22" s="268">
        <v>-75.64</v>
      </c>
      <c r="H22" s="268">
        <v>-14.627000000000001</v>
      </c>
      <c r="I22" s="268">
        <v>-102.38800000000001</v>
      </c>
      <c r="J22" s="268">
        <v>-99.454999999999998</v>
      </c>
      <c r="K22" s="268">
        <v>-91.998000000000005</v>
      </c>
      <c r="L22" s="778">
        <v>-120.983</v>
      </c>
      <c r="M22" s="778">
        <v>-114.39580782999995</v>
      </c>
      <c r="N22" s="276">
        <v>-42.829000000000001</v>
      </c>
      <c r="O22" s="268">
        <v>-292.11</v>
      </c>
      <c r="P22" s="289">
        <v>-370.20580782999997</v>
      </c>
    </row>
    <row r="23" spans="2:19" s="9" customFormat="1" ht="24" customHeight="1" x14ac:dyDescent="0.2">
      <c r="B23" s="281" t="s">
        <v>204</v>
      </c>
      <c r="C23" s="272">
        <v>-46.828745373799997</v>
      </c>
      <c r="D23" s="272">
        <v>-28.147690246</v>
      </c>
      <c r="E23" s="272">
        <v>-40.991219058400013</v>
      </c>
      <c r="F23" s="272">
        <v>-69.888544593399999</v>
      </c>
      <c r="G23" s="272">
        <v>-75.64</v>
      </c>
      <c r="H23" s="272">
        <v>-79.180905252499997</v>
      </c>
      <c r="I23" s="268">
        <v>-102.38800000000001</v>
      </c>
      <c r="J23" s="268">
        <v>-99.454999999999998</v>
      </c>
      <c r="K23" s="268">
        <v>-110.8582381252</v>
      </c>
      <c r="L23" s="268">
        <v>-118.76175007500001</v>
      </c>
      <c r="M23" s="869">
        <v>-114.92856914999996</v>
      </c>
      <c r="N23" s="810">
        <v>-104.7685607496</v>
      </c>
      <c r="O23" s="268">
        <v>-356.6639052525</v>
      </c>
      <c r="P23" s="289">
        <v>-440.6171180998</v>
      </c>
      <c r="R23" s="40"/>
    </row>
    <row r="24" spans="2:19" s="9" customFormat="1" ht="24" customHeight="1" x14ac:dyDescent="0.2">
      <c r="B24" s="151" t="s">
        <v>169</v>
      </c>
      <c r="C24" s="284">
        <v>1.2170000000000001</v>
      </c>
      <c r="D24" s="273">
        <v>-0.24299999999999999</v>
      </c>
      <c r="E24" s="273">
        <v>0.19400000000000001</v>
      </c>
      <c r="F24" s="273">
        <v>0.56399999999999995</v>
      </c>
      <c r="G24" s="273">
        <v>1.0289999999999999</v>
      </c>
      <c r="H24" s="273">
        <v>0.56000000000000005</v>
      </c>
      <c r="I24" s="268">
        <v>0.41099999999999998</v>
      </c>
      <c r="J24" s="273">
        <v>-0.32400000000000001</v>
      </c>
      <c r="K24" s="273">
        <v>0.186</v>
      </c>
      <c r="L24" s="284">
        <v>-1.17</v>
      </c>
      <c r="M24" s="284">
        <v>0.1746048999999999</v>
      </c>
      <c r="N24" s="278">
        <v>0.97</v>
      </c>
      <c r="O24" s="273">
        <v>1.6759999999999999</v>
      </c>
      <c r="P24" s="292">
        <v>0.16060489999999983</v>
      </c>
      <c r="S24" s="41"/>
    </row>
    <row r="25" spans="2:19" s="9" customFormat="1" ht="24" customHeight="1" x14ac:dyDescent="0.2">
      <c r="B25" s="888" t="s">
        <v>243</v>
      </c>
      <c r="C25" s="885">
        <f>C21+C23+C24</f>
        <v>62.170813756200054</v>
      </c>
      <c r="D25" s="885">
        <f>D21+D23+D24</f>
        <v>104.83765685399996</v>
      </c>
      <c r="E25" s="885">
        <f t="shared" ref="E25:H25" si="3">E21+E23+E24</f>
        <v>111.50531578160003</v>
      </c>
      <c r="F25" s="885">
        <f t="shared" si="3"/>
        <v>179.90954999659996</v>
      </c>
      <c r="G25" s="885">
        <f t="shared" si="3"/>
        <v>195.42000000000002</v>
      </c>
      <c r="H25" s="885">
        <f t="shared" si="3"/>
        <v>205.33071575750006</v>
      </c>
      <c r="I25" s="885">
        <f t="shared" ref="I25" si="4">I21+I23+I24</f>
        <v>297.08524599999993</v>
      </c>
      <c r="J25" s="885">
        <f t="shared" ref="J25:O25" si="5">J21+J23+J24</f>
        <v>284.67999999999995</v>
      </c>
      <c r="K25" s="885">
        <f t="shared" si="5"/>
        <v>307.09306575479985</v>
      </c>
      <c r="L25" s="885">
        <f t="shared" si="5"/>
        <v>305.34376742499995</v>
      </c>
      <c r="M25" s="885">
        <f t="shared" ref="M25" si="6">M21+M23+M24</f>
        <v>296.39807457000023</v>
      </c>
      <c r="N25" s="885">
        <f>N21+N23+N24</f>
        <v>286.78713149039993</v>
      </c>
      <c r="O25" s="885">
        <f t="shared" si="5"/>
        <v>982.50271575749991</v>
      </c>
      <c r="P25" s="887">
        <f>P21+P23+P24</f>
        <v>1174.3220392401997</v>
      </c>
    </row>
    <row r="26" spans="2:19" s="9" customFormat="1" ht="14.25" customHeight="1" x14ac:dyDescent="0.2">
      <c r="B26" s="285"/>
      <c r="C26" s="231"/>
      <c r="D26" s="231"/>
      <c r="E26" s="231"/>
      <c r="F26" s="231"/>
      <c r="G26" s="231"/>
      <c r="H26" s="231"/>
      <c r="I26" s="231"/>
      <c r="J26" s="231"/>
      <c r="K26" s="231"/>
      <c r="L26" s="231"/>
      <c r="M26" s="231"/>
      <c r="N26" s="231"/>
      <c r="O26" s="231"/>
      <c r="P26" s="286"/>
    </row>
    <row r="27" spans="2:19" s="9" customFormat="1" ht="24" customHeight="1" x14ac:dyDescent="0.2">
      <c r="B27" s="306" t="s">
        <v>322</v>
      </c>
      <c r="C27" s="307">
        <v>-13.125</v>
      </c>
      <c r="D27" s="307">
        <v>-13.125</v>
      </c>
      <c r="E27" s="307">
        <v>-13.125</v>
      </c>
      <c r="F27" s="307">
        <v>-13.125</v>
      </c>
      <c r="G27" s="307">
        <v>-13.125</v>
      </c>
      <c r="H27" s="307">
        <v>-13.125</v>
      </c>
      <c r="I27" s="307">
        <v>-13.125</v>
      </c>
      <c r="J27" s="307">
        <v>-13.125</v>
      </c>
      <c r="K27" s="307">
        <v>-13.125</v>
      </c>
      <c r="L27" s="307">
        <v>-13.125</v>
      </c>
      <c r="M27" s="307">
        <v>-13.125</v>
      </c>
      <c r="N27" s="307">
        <v>-13.125</v>
      </c>
      <c r="O27" s="307">
        <f>G27+H27+I27+J27</f>
        <v>-52.5</v>
      </c>
      <c r="P27" s="308">
        <f>K27+L27+N27+M27</f>
        <v>-52.5</v>
      </c>
      <c r="R27" s="41"/>
    </row>
    <row r="28" spans="2:19" s="9" customFormat="1" ht="24" customHeight="1" x14ac:dyDescent="0.2">
      <c r="B28" s="293" t="s">
        <v>323</v>
      </c>
      <c r="C28" s="294">
        <f t="shared" ref="C28" si="7">C25+C27</f>
        <v>49.045813756200054</v>
      </c>
      <c r="D28" s="294">
        <f t="shared" ref="D28" si="8">D25+D27</f>
        <v>91.71265685399996</v>
      </c>
      <c r="E28" s="294">
        <f t="shared" ref="E28:H28" si="9">E25+E27</f>
        <v>98.380315781600032</v>
      </c>
      <c r="F28" s="294">
        <f t="shared" si="9"/>
        <v>166.78454999659996</v>
      </c>
      <c r="G28" s="294">
        <f t="shared" si="9"/>
        <v>182.29500000000002</v>
      </c>
      <c r="H28" s="294">
        <f t="shared" si="9"/>
        <v>192.20571575750006</v>
      </c>
      <c r="I28" s="294">
        <f t="shared" ref="I28:L28" si="10">I25+I27</f>
        <v>283.96024599999993</v>
      </c>
      <c r="J28" s="294">
        <f t="shared" si="10"/>
        <v>271.55499999999995</v>
      </c>
      <c r="K28" s="294">
        <f t="shared" si="10"/>
        <v>293.96806575479985</v>
      </c>
      <c r="L28" s="294">
        <f t="shared" si="10"/>
        <v>292.21876742499995</v>
      </c>
      <c r="M28" s="294">
        <f t="shared" ref="M28:N28" si="11">M25+M27</f>
        <v>283.27307457000023</v>
      </c>
      <c r="N28" s="294">
        <f t="shared" si="11"/>
        <v>273.66213149039993</v>
      </c>
      <c r="O28" s="294">
        <f>O25+O27</f>
        <v>930.00271575749991</v>
      </c>
      <c r="P28" s="886">
        <f>P25+P27</f>
        <v>1121.8220392401997</v>
      </c>
    </row>
    <row r="29" spans="2:19" s="9" customFormat="1" ht="24" customHeight="1" x14ac:dyDescent="0.2">
      <c r="B29" s="309" t="s">
        <v>174</v>
      </c>
      <c r="C29" s="310">
        <f t="shared" ref="C29:L29" si="12">C28/C55</f>
        <v>3.9225127509760434E-2</v>
      </c>
      <c r="D29" s="310">
        <f t="shared" si="12"/>
        <v>7.3348577255531566E-2</v>
      </c>
      <c r="E29" s="310">
        <f t="shared" si="12"/>
        <v>7.8681137806505055E-2</v>
      </c>
      <c r="F29" s="310">
        <f t="shared" si="12"/>
        <v>0.13338845335087607</v>
      </c>
      <c r="G29" s="310">
        <f t="shared" si="12"/>
        <v>0.14583654309528649</v>
      </c>
      <c r="H29" s="310">
        <f t="shared" si="12"/>
        <v>0.15384563928870779</v>
      </c>
      <c r="I29" s="310">
        <f t="shared" si="12"/>
        <v>0.22827031693492489</v>
      </c>
      <c r="J29" s="310">
        <f t="shared" si="12"/>
        <v>0.21809505961438166</v>
      </c>
      <c r="K29" s="310">
        <f t="shared" si="12"/>
        <v>0.23594955898572542</v>
      </c>
      <c r="L29" s="310">
        <f t="shared" si="12"/>
        <v>0.23467390454597301</v>
      </c>
      <c r="M29" s="310">
        <f t="shared" ref="M29:N29" si="13">M28/M55</f>
        <v>0.22723242184515863</v>
      </c>
      <c r="N29" s="310">
        <f t="shared" si="13"/>
        <v>0.21962588745371972</v>
      </c>
      <c r="O29" s="310">
        <f>G29+H29+I29+J29</f>
        <v>0.74604755893330077</v>
      </c>
      <c r="P29" s="804">
        <f>P28/P55</f>
        <v>0.9003114884454283</v>
      </c>
    </row>
    <row r="30" spans="2:19" s="9" customFormat="1" ht="14.25" customHeight="1" x14ac:dyDescent="0.2">
      <c r="B30" s="285"/>
      <c r="C30" s="231"/>
      <c r="D30" s="231"/>
      <c r="E30" s="231"/>
      <c r="F30" s="231"/>
      <c r="G30" s="231"/>
      <c r="H30" s="231"/>
      <c r="I30" s="231"/>
      <c r="J30" s="231"/>
      <c r="K30" s="231"/>
      <c r="L30" s="231"/>
      <c r="M30" s="231"/>
      <c r="N30" s="231"/>
      <c r="O30" s="231"/>
      <c r="P30" s="286"/>
    </row>
    <row r="31" spans="2:19" s="9" customFormat="1" ht="24" customHeight="1" x14ac:dyDescent="0.2">
      <c r="B31" s="888" t="s">
        <v>243</v>
      </c>
      <c r="C31" s="885">
        <f t="shared" ref="C31" si="14">C25</f>
        <v>62.170813756200054</v>
      </c>
      <c r="D31" s="885">
        <f t="shared" ref="D31" si="15">D25</f>
        <v>104.83765685399996</v>
      </c>
      <c r="E31" s="885">
        <f t="shared" ref="E31" si="16">E25</f>
        <v>111.50531578160003</v>
      </c>
      <c r="F31" s="885">
        <f>F25</f>
        <v>179.90954999659996</v>
      </c>
      <c r="G31" s="885">
        <f t="shared" ref="G31:H31" si="17">G25</f>
        <v>195.42000000000002</v>
      </c>
      <c r="H31" s="885">
        <f t="shared" si="17"/>
        <v>205.33071575750006</v>
      </c>
      <c r="I31" s="885">
        <f t="shared" ref="I31" si="18">I25</f>
        <v>297.08524599999993</v>
      </c>
      <c r="J31" s="885">
        <f t="shared" ref="J31" si="19">J25</f>
        <v>284.67999999999995</v>
      </c>
      <c r="K31" s="885">
        <f t="shared" ref="K31:O31" si="20">K25</f>
        <v>307.09306575479985</v>
      </c>
      <c r="L31" s="885">
        <f t="shared" si="20"/>
        <v>305.34376742499995</v>
      </c>
      <c r="M31" s="885">
        <f t="shared" ref="M31:N31" si="21">M25</f>
        <v>296.39807457000023</v>
      </c>
      <c r="N31" s="885">
        <f t="shared" si="21"/>
        <v>286.78713149039993</v>
      </c>
      <c r="O31" s="885">
        <f t="shared" si="20"/>
        <v>982.50271575749991</v>
      </c>
      <c r="P31" s="887">
        <f>P25</f>
        <v>1174.3220392401997</v>
      </c>
    </row>
    <row r="32" spans="2:19" s="9" customFormat="1" ht="24" customHeight="1" x14ac:dyDescent="0.2">
      <c r="B32" s="282" t="s">
        <v>583</v>
      </c>
      <c r="C32" s="295">
        <v>74.689000000000021</v>
      </c>
      <c r="D32" s="295">
        <v>-41.676999999999992</v>
      </c>
      <c r="E32" s="295">
        <v>12.161000000000001</v>
      </c>
      <c r="F32" s="295">
        <v>-3.6300000000000008</v>
      </c>
      <c r="G32" s="295">
        <v>9.7540000000000013</v>
      </c>
      <c r="H32" s="295">
        <v>29.241999999999997</v>
      </c>
      <c r="I32" s="295">
        <v>-7.8949999999999996</v>
      </c>
      <c r="J32" s="295">
        <v>31.995000000000001</v>
      </c>
      <c r="K32" s="295">
        <v>-4.4270000000000005</v>
      </c>
      <c r="L32" s="295">
        <v>7.47</v>
      </c>
      <c r="M32" s="869">
        <v>33.253386879999915</v>
      </c>
      <c r="N32" s="810">
        <v>28.351999999999997</v>
      </c>
      <c r="O32" s="295">
        <v>63.095999999999997</v>
      </c>
      <c r="P32" s="811">
        <v>64.648386879999919</v>
      </c>
    </row>
    <row r="33" spans="2:22" s="9" customFormat="1" ht="24" customHeight="1" x14ac:dyDescent="0.2">
      <c r="B33" s="282" t="s">
        <v>582</v>
      </c>
      <c r="C33" s="152">
        <v>-2.3609999999999998</v>
      </c>
      <c r="D33" s="152">
        <v>16.709</v>
      </c>
      <c r="E33" s="152">
        <v>-6.8050000000000006</v>
      </c>
      <c r="F33" s="152">
        <v>23.198</v>
      </c>
      <c r="G33" s="152">
        <v>-1.48</v>
      </c>
      <c r="H33" s="152">
        <v>3.5300000000000002</v>
      </c>
      <c r="I33" s="152">
        <v>-10.244999999999999</v>
      </c>
      <c r="J33" s="152">
        <v>9.7259999999999991</v>
      </c>
      <c r="K33" s="152">
        <v>-23.358999999999995</v>
      </c>
      <c r="L33" s="153">
        <v>11.755000000000001</v>
      </c>
      <c r="M33" s="153">
        <v>-9.9486770399999891</v>
      </c>
      <c r="N33" s="277">
        <v>20.843</v>
      </c>
      <c r="O33" s="152">
        <v>1.5309999999999986</v>
      </c>
      <c r="P33" s="290">
        <v>-0.70967703999999543</v>
      </c>
      <c r="T33" s="60"/>
    </row>
    <row r="34" spans="2:22" s="9" customFormat="1" ht="24" customHeight="1" x14ac:dyDescent="0.2">
      <c r="B34" s="888" t="s">
        <v>581</v>
      </c>
      <c r="C34" s="885">
        <f t="shared" ref="C34:H34" si="22">C31+C32+C33</f>
        <v>134.49881375620009</v>
      </c>
      <c r="D34" s="885">
        <f t="shared" si="22"/>
        <v>79.86965685399997</v>
      </c>
      <c r="E34" s="885">
        <f>E31+E32+E33</f>
        <v>116.86131578160003</v>
      </c>
      <c r="F34" s="885">
        <f t="shared" si="22"/>
        <v>199.47754999659998</v>
      </c>
      <c r="G34" s="885">
        <f t="shared" si="22"/>
        <v>203.69400000000002</v>
      </c>
      <c r="H34" s="885">
        <f t="shared" si="22"/>
        <v>238.10271575750005</v>
      </c>
      <c r="I34" s="885">
        <f t="shared" ref="I34" si="23">I31+I32+I33</f>
        <v>278.94524599999994</v>
      </c>
      <c r="J34" s="885">
        <f t="shared" ref="J34:O34" si="24">J31+J32+J33</f>
        <v>326.40099999999995</v>
      </c>
      <c r="K34" s="885">
        <f t="shared" si="24"/>
        <v>279.30706575479985</v>
      </c>
      <c r="L34" s="885">
        <f t="shared" si="24"/>
        <v>324.56876742499998</v>
      </c>
      <c r="M34" s="885">
        <f t="shared" ref="M34:N34" si="25">M31+M32+M33</f>
        <v>319.70278441000016</v>
      </c>
      <c r="N34" s="885">
        <f t="shared" si="25"/>
        <v>335.98213149039992</v>
      </c>
      <c r="O34" s="885">
        <f t="shared" si="24"/>
        <v>1047.1297157574998</v>
      </c>
      <c r="P34" s="887">
        <f>P31+P32+P33</f>
        <v>1238.2607490801995</v>
      </c>
    </row>
    <row r="35" spans="2:22" s="9" customFormat="1" ht="14.25" customHeight="1" x14ac:dyDescent="0.2">
      <c r="B35" s="285"/>
      <c r="C35" s="231"/>
      <c r="D35" s="231"/>
      <c r="E35" s="231"/>
      <c r="F35" s="231"/>
      <c r="G35" s="231"/>
      <c r="H35" s="231"/>
      <c r="I35" s="231"/>
      <c r="J35" s="231"/>
      <c r="K35" s="231"/>
      <c r="L35" s="231"/>
      <c r="M35" s="231"/>
      <c r="N35" s="231"/>
      <c r="O35" s="231"/>
      <c r="P35" s="286"/>
      <c r="S35" s="40"/>
    </row>
    <row r="36" spans="2:22" s="9" customFormat="1" ht="24" customHeight="1" x14ac:dyDescent="0.2">
      <c r="B36" s="306" t="s">
        <v>244</v>
      </c>
      <c r="C36" s="307">
        <v>-13.125</v>
      </c>
      <c r="D36" s="307">
        <v>-13.125</v>
      </c>
      <c r="E36" s="307">
        <v>-13.125</v>
      </c>
      <c r="F36" s="307">
        <v>-13.125</v>
      </c>
      <c r="G36" s="307">
        <v>-13.125</v>
      </c>
      <c r="H36" s="307">
        <v>-13.125</v>
      </c>
      <c r="I36" s="307">
        <v>-13.125</v>
      </c>
      <c r="J36" s="307">
        <v>-13.125</v>
      </c>
      <c r="K36" s="307">
        <v>-13.125</v>
      </c>
      <c r="L36" s="307">
        <v>-13.125</v>
      </c>
      <c r="M36" s="307">
        <v>-13.125</v>
      </c>
      <c r="N36" s="307">
        <v>-13.125</v>
      </c>
      <c r="O36" s="307">
        <f>G36+H36+I36+J36</f>
        <v>-52.5</v>
      </c>
      <c r="P36" s="308">
        <f>K36+L36+N36+M36</f>
        <v>-52.5</v>
      </c>
    </row>
    <row r="37" spans="2:22" s="9" customFormat="1" ht="24" customHeight="1" x14ac:dyDescent="0.2">
      <c r="B37" s="293" t="s">
        <v>245</v>
      </c>
      <c r="C37" s="294">
        <f t="shared" ref="C37" si="26">C34+C36</f>
        <v>121.37381375620009</v>
      </c>
      <c r="D37" s="294">
        <f t="shared" ref="D37" si="27">D34+D36</f>
        <v>66.74465685399997</v>
      </c>
      <c r="E37" s="294">
        <f t="shared" ref="E37" si="28">E34+E36</f>
        <v>103.73631578160003</v>
      </c>
      <c r="F37" s="294">
        <f>F34+F36</f>
        <v>186.35254999659998</v>
      </c>
      <c r="G37" s="294">
        <f>G34+G36</f>
        <v>190.56900000000002</v>
      </c>
      <c r="H37" s="294">
        <f t="shared" ref="H37" si="29">H34+H36</f>
        <v>224.97771575750005</v>
      </c>
      <c r="I37" s="294">
        <f t="shared" ref="I37" si="30">I34+I36</f>
        <v>265.82024599999994</v>
      </c>
      <c r="J37" s="294">
        <f t="shared" ref="J37" si="31">J34+J36</f>
        <v>313.27599999999995</v>
      </c>
      <c r="K37" s="294">
        <f t="shared" ref="K37:P37" si="32">K34+K36</f>
        <v>266.18206575479985</v>
      </c>
      <c r="L37" s="294">
        <f t="shared" si="32"/>
        <v>311.44376742499998</v>
      </c>
      <c r="M37" s="294">
        <f t="shared" ref="M37:N37" si="33">M34+M36</f>
        <v>306.57778441000016</v>
      </c>
      <c r="N37" s="294">
        <f t="shared" si="33"/>
        <v>322.85713149039992</v>
      </c>
      <c r="O37" s="294">
        <f t="shared" si="32"/>
        <v>994.62971575749975</v>
      </c>
      <c r="P37" s="886">
        <f t="shared" si="32"/>
        <v>1185.7607490801995</v>
      </c>
    </row>
    <row r="38" spans="2:22" s="9" customFormat="1" ht="24" customHeight="1" x14ac:dyDescent="0.2">
      <c r="B38" s="309" t="s">
        <v>175</v>
      </c>
      <c r="C38" s="310">
        <f t="shared" ref="C38:L38" si="34">C37/C55</f>
        <v>9.707053377885938E-2</v>
      </c>
      <c r="D38" s="310">
        <f t="shared" si="34"/>
        <v>5.338004357940529E-2</v>
      </c>
      <c r="E38" s="310">
        <f t="shared" si="34"/>
        <v>8.2964679394510993E-2</v>
      </c>
      <c r="F38" s="310">
        <f t="shared" si="34"/>
        <v>0.14903825577695903</v>
      </c>
      <c r="G38" s="310">
        <f t="shared" si="34"/>
        <v>0.15245576774527908</v>
      </c>
      <c r="H38" s="310">
        <f t="shared" si="34"/>
        <v>0.1800770615484425</v>
      </c>
      <c r="I38" s="310">
        <f t="shared" si="34"/>
        <v>0.21368791109632895</v>
      </c>
      <c r="J38" s="310">
        <f t="shared" si="34"/>
        <v>0.25160261418775215</v>
      </c>
      <c r="K38" s="310">
        <f t="shared" si="34"/>
        <v>0.21364749556552443</v>
      </c>
      <c r="L38" s="310">
        <f t="shared" si="34"/>
        <v>0.25011304233528103</v>
      </c>
      <c r="M38" s="310">
        <f t="shared" ref="M38:N38" si="35">M37/M55</f>
        <v>0.24592670002666392</v>
      </c>
      <c r="N38" s="310">
        <f t="shared" si="35"/>
        <v>0.25910703698085025</v>
      </c>
      <c r="O38" s="310">
        <f>G38+H38+I38+J38</f>
        <v>0.79782335457780262</v>
      </c>
      <c r="P38" s="804">
        <f>P37/P55</f>
        <v>0.95162511307729825</v>
      </c>
    </row>
    <row r="39" spans="2:22" s="9" customFormat="1" ht="14.25" customHeight="1" x14ac:dyDescent="0.2">
      <c r="B39" s="285"/>
      <c r="C39" s="231"/>
      <c r="D39" s="231"/>
      <c r="E39" s="231"/>
      <c r="F39" s="231"/>
      <c r="G39" s="231"/>
      <c r="H39" s="231"/>
      <c r="I39" s="231"/>
      <c r="J39" s="231"/>
      <c r="K39" s="231"/>
      <c r="L39" s="231"/>
      <c r="M39" s="231"/>
      <c r="N39" s="231"/>
      <c r="O39" s="231"/>
      <c r="P39" s="286"/>
    </row>
    <row r="40" spans="2:22" s="9" customFormat="1" ht="24" customHeight="1" x14ac:dyDescent="0.2">
      <c r="B40" s="283" t="s">
        <v>580</v>
      </c>
      <c r="C40" s="885">
        <f t="shared" ref="C40" si="36">C34</f>
        <v>134.49881375620009</v>
      </c>
      <c r="D40" s="885">
        <f t="shared" ref="D40" si="37">D34</f>
        <v>79.86965685399997</v>
      </c>
      <c r="E40" s="885">
        <f t="shared" ref="E40:F40" si="38">E34</f>
        <v>116.86131578160003</v>
      </c>
      <c r="F40" s="885">
        <f t="shared" si="38"/>
        <v>199.47754999659998</v>
      </c>
      <c r="G40" s="885">
        <f t="shared" ref="G40:H40" si="39">G34</f>
        <v>203.69400000000002</v>
      </c>
      <c r="H40" s="885">
        <f t="shared" si="39"/>
        <v>238.10271575750005</v>
      </c>
      <c r="I40" s="885">
        <f t="shared" ref="I40" si="40">I34</f>
        <v>278.94524599999994</v>
      </c>
      <c r="J40" s="885">
        <f t="shared" ref="J40" si="41">J34</f>
        <v>326.40099999999995</v>
      </c>
      <c r="K40" s="885">
        <f t="shared" ref="K40:L40" si="42">K34</f>
        <v>279.30706575479985</v>
      </c>
      <c r="L40" s="885">
        <f t="shared" si="42"/>
        <v>324.56876742499998</v>
      </c>
      <c r="M40" s="885">
        <f t="shared" ref="M40:N40" si="43">M34</f>
        <v>319.70278441000016</v>
      </c>
      <c r="N40" s="885">
        <f t="shared" si="43"/>
        <v>335.98213149039992</v>
      </c>
      <c r="O40" s="885">
        <f>O34</f>
        <v>1047.1297157574998</v>
      </c>
      <c r="P40" s="887">
        <f>P34</f>
        <v>1238.2607490801995</v>
      </c>
      <c r="R40" s="40"/>
      <c r="S40" s="35"/>
      <c r="T40" s="35"/>
      <c r="U40" s="35"/>
      <c r="V40" s="35"/>
    </row>
    <row r="41" spans="2:22" s="9" customFormat="1" ht="24" customHeight="1" x14ac:dyDescent="0.2">
      <c r="B41" s="282" t="s">
        <v>579</v>
      </c>
      <c r="C41" s="296">
        <v>-151.6</v>
      </c>
      <c r="D41" s="295">
        <v>-117.35</v>
      </c>
      <c r="E41" s="295">
        <v>-18.381</v>
      </c>
      <c r="F41" s="295">
        <v>-33.1</v>
      </c>
      <c r="G41" s="295">
        <v>-20.760999999999999</v>
      </c>
      <c r="H41" s="295">
        <v>-180.79911400999998</v>
      </c>
      <c r="I41" s="295">
        <v>0</v>
      </c>
      <c r="J41" s="295">
        <v>-51.51</v>
      </c>
      <c r="K41" s="295">
        <v>-12.14</v>
      </c>
      <c r="L41" s="296">
        <v>0</v>
      </c>
      <c r="M41" s="296">
        <v>0</v>
      </c>
      <c r="N41" s="776">
        <v>-149.93099999999998</v>
      </c>
      <c r="O41" s="295">
        <v>-253.07011400999997</v>
      </c>
      <c r="P41" s="297">
        <v>-162.071</v>
      </c>
      <c r="S41" s="35"/>
      <c r="T41" s="86"/>
      <c r="U41" s="35"/>
      <c r="V41" s="35"/>
    </row>
    <row r="42" spans="2:22" s="9" customFormat="1" ht="24" customHeight="1" x14ac:dyDescent="0.2">
      <c r="B42" s="282" t="s">
        <v>217</v>
      </c>
      <c r="C42" s="295">
        <v>281</v>
      </c>
      <c r="D42" s="295">
        <v>0</v>
      </c>
      <c r="E42" s="295">
        <v>0</v>
      </c>
      <c r="F42" s="295">
        <v>0</v>
      </c>
      <c r="G42" s="298">
        <v>0</v>
      </c>
      <c r="H42" s="298">
        <v>0</v>
      </c>
      <c r="I42" s="295">
        <v>0</v>
      </c>
      <c r="J42" s="295">
        <v>0</v>
      </c>
      <c r="K42" s="298">
        <v>0</v>
      </c>
      <c r="L42" s="870">
        <v>0</v>
      </c>
      <c r="M42" s="870">
        <v>0</v>
      </c>
      <c r="N42" s="777">
        <v>0</v>
      </c>
      <c r="O42" s="295">
        <v>0</v>
      </c>
      <c r="P42" s="299">
        <v>0</v>
      </c>
      <c r="Q42" s="40"/>
      <c r="R42" s="40"/>
      <c r="S42" s="36"/>
      <c r="T42" s="35"/>
      <c r="U42" s="35"/>
      <c r="V42" s="35"/>
    </row>
    <row r="43" spans="2:22" s="9" customFormat="1" ht="24" customHeight="1" x14ac:dyDescent="0.2">
      <c r="B43" s="151" t="s">
        <v>594</v>
      </c>
      <c r="C43" s="284">
        <v>236.72271175</v>
      </c>
      <c r="D43" s="273">
        <v>108.6836529</v>
      </c>
      <c r="E43" s="273">
        <v>51.898115160000003</v>
      </c>
      <c r="F43" s="273">
        <v>-0.67009458999999993</v>
      </c>
      <c r="G43" s="273">
        <v>0</v>
      </c>
      <c r="H43" s="273">
        <v>0</v>
      </c>
      <c r="I43" s="295">
        <v>0</v>
      </c>
      <c r="J43" s="295">
        <v>0</v>
      </c>
      <c r="K43" s="273">
        <v>-43.292000000000002</v>
      </c>
      <c r="L43" s="869">
        <v>11.949892</v>
      </c>
      <c r="M43" s="870">
        <v>0</v>
      </c>
      <c r="N43" s="278">
        <v>0</v>
      </c>
      <c r="O43" s="273">
        <v>0</v>
      </c>
      <c r="P43" s="292">
        <v>-31.342108000000003</v>
      </c>
      <c r="S43" s="35"/>
      <c r="T43" s="35"/>
      <c r="U43" s="35"/>
      <c r="V43" s="35"/>
    </row>
    <row r="44" spans="2:22" s="9" customFormat="1" ht="24" customHeight="1" x14ac:dyDescent="0.2">
      <c r="B44" s="282" t="s">
        <v>608</v>
      </c>
      <c r="C44" s="298"/>
      <c r="D44" s="298"/>
      <c r="E44" s="298"/>
      <c r="F44" s="298"/>
      <c r="G44" s="298">
        <v>0</v>
      </c>
      <c r="H44" s="298">
        <v>0</v>
      </c>
      <c r="I44" s="295">
        <v>0</v>
      </c>
      <c r="J44" s="295">
        <v>0</v>
      </c>
      <c r="K44" s="298">
        <v>0</v>
      </c>
      <c r="L44" s="298">
        <v>0</v>
      </c>
      <c r="M44" s="870">
        <v>0</v>
      </c>
      <c r="N44" s="777">
        <v>0</v>
      </c>
      <c r="O44" s="295">
        <v>0</v>
      </c>
      <c r="P44" s="299">
        <v>30</v>
      </c>
      <c r="S44" s="35"/>
      <c r="T44" s="35"/>
      <c r="U44" s="35"/>
      <c r="V44" s="35"/>
    </row>
    <row r="45" spans="2:22" s="9" customFormat="1" ht="24" customHeight="1" x14ac:dyDescent="0.2">
      <c r="B45" s="282" t="s">
        <v>634</v>
      </c>
      <c r="C45" s="298"/>
      <c r="D45" s="298"/>
      <c r="E45" s="298"/>
      <c r="F45" s="298"/>
      <c r="G45" s="298">
        <v>0</v>
      </c>
      <c r="H45" s="298">
        <v>0</v>
      </c>
      <c r="I45" s="295">
        <v>0</v>
      </c>
      <c r="J45" s="295">
        <v>0</v>
      </c>
      <c r="K45" s="298">
        <v>0</v>
      </c>
      <c r="L45" s="284">
        <v>0</v>
      </c>
      <c r="M45" s="284">
        <v>0</v>
      </c>
      <c r="N45" s="777">
        <v>-25</v>
      </c>
      <c r="O45" s="295">
        <v>0</v>
      </c>
      <c r="P45" s="299">
        <v>-25</v>
      </c>
      <c r="S45" s="35"/>
      <c r="T45" s="35"/>
      <c r="U45" s="35"/>
      <c r="V45" s="35"/>
    </row>
    <row r="46" spans="2:22" s="9" customFormat="1" ht="24" customHeight="1" x14ac:dyDescent="0.2">
      <c r="B46" s="282" t="s">
        <v>578</v>
      </c>
      <c r="C46" s="296">
        <v>-4.1472708799999998</v>
      </c>
      <c r="D46" s="295">
        <v>-6.6</v>
      </c>
      <c r="E46" s="295">
        <v>-19.877649999999999</v>
      </c>
      <c r="F46" s="295">
        <v>-30.314</v>
      </c>
      <c r="G46" s="295">
        <v>-3.1720000000000002</v>
      </c>
      <c r="H46" s="295">
        <v>-2.1745070000000002</v>
      </c>
      <c r="I46" s="295">
        <v>-1.5662459999999996</v>
      </c>
      <c r="J46" s="295">
        <v>-63.649000000000001</v>
      </c>
      <c r="K46" s="295">
        <v>-9.6033038800000003</v>
      </c>
      <c r="L46" s="296">
        <v>-4.2904095</v>
      </c>
      <c r="M46" s="296">
        <v>-1.837108</v>
      </c>
      <c r="N46" s="776">
        <v>-38.653692239999998</v>
      </c>
      <c r="O46" s="295">
        <v>-70.548507000000001</v>
      </c>
      <c r="P46" s="297">
        <v>-54.38451362</v>
      </c>
      <c r="S46" s="86"/>
      <c r="T46" s="35"/>
      <c r="U46" s="35"/>
      <c r="V46" s="35"/>
    </row>
    <row r="47" spans="2:22" s="9" customFormat="1" ht="24" customHeight="1" x14ac:dyDescent="0.2">
      <c r="B47" s="300" t="s">
        <v>187</v>
      </c>
      <c r="C47" s="301">
        <v>0</v>
      </c>
      <c r="D47" s="302">
        <v>0</v>
      </c>
      <c r="E47" s="302">
        <v>0</v>
      </c>
      <c r="F47" s="302">
        <v>25.8</v>
      </c>
      <c r="G47" s="295">
        <v>0</v>
      </c>
      <c r="H47" s="295">
        <v>0</v>
      </c>
      <c r="I47" s="295">
        <v>0</v>
      </c>
      <c r="J47" s="295">
        <v>0</v>
      </c>
      <c r="K47" s="295">
        <v>0</v>
      </c>
      <c r="L47" s="295">
        <v>0</v>
      </c>
      <c r="M47" s="296">
        <v>0</v>
      </c>
      <c r="N47" s="776">
        <v>0</v>
      </c>
      <c r="O47" s="295">
        <v>0</v>
      </c>
      <c r="P47" s="297">
        <v>0</v>
      </c>
      <c r="R47" s="40"/>
      <c r="S47" s="35"/>
      <c r="T47" s="35"/>
      <c r="U47" s="35"/>
      <c r="V47" s="35"/>
    </row>
    <row r="48" spans="2:22" s="9" customFormat="1" ht="24" customHeight="1" x14ac:dyDescent="0.2">
      <c r="B48" s="300" t="s">
        <v>577</v>
      </c>
      <c r="C48" s="301">
        <v>24.788745373799998</v>
      </c>
      <c r="D48" s="302">
        <v>27.858690245999998</v>
      </c>
      <c r="E48" s="302">
        <v>-14.854780941599984</v>
      </c>
      <c r="F48" s="302">
        <v>8.3685445933999958</v>
      </c>
      <c r="G48" s="273">
        <v>0</v>
      </c>
      <c r="H48" s="273">
        <v>64.553905252500002</v>
      </c>
      <c r="I48" s="295">
        <v>0</v>
      </c>
      <c r="J48" s="295">
        <v>0</v>
      </c>
      <c r="K48" s="273">
        <f t="shared" ref="K48:P48" si="44">-K23+K22</f>
        <v>18.860238125199999</v>
      </c>
      <c r="L48" s="884">
        <f t="shared" si="44"/>
        <v>-2.2212499249999951</v>
      </c>
      <c r="M48" s="284">
        <f t="shared" si="44"/>
        <v>0.53276132000000587</v>
      </c>
      <c r="N48" s="278">
        <f t="shared" si="44"/>
        <v>61.939560749599998</v>
      </c>
      <c r="O48" s="273">
        <f t="shared" si="44"/>
        <v>64.553905252499987</v>
      </c>
      <c r="P48" s="292">
        <f t="shared" si="44"/>
        <v>70.411310269800026</v>
      </c>
      <c r="S48" s="35"/>
      <c r="T48" s="35"/>
      <c r="U48" s="35"/>
      <c r="V48" s="35"/>
    </row>
    <row r="49" spans="2:22" s="9" customFormat="1" ht="24" customHeight="1" x14ac:dyDescent="0.2">
      <c r="B49" s="888" t="s">
        <v>246</v>
      </c>
      <c r="C49" s="885">
        <f t="shared" ref="C49:G49" si="45">SUM(C40:C48)</f>
        <v>521.26300000000015</v>
      </c>
      <c r="D49" s="885">
        <f t="shared" si="45"/>
        <v>92.461999999999975</v>
      </c>
      <c r="E49" s="885">
        <f t="shared" si="45"/>
        <v>115.64600000000004</v>
      </c>
      <c r="F49" s="885">
        <f t="shared" si="45"/>
        <v>169.56200000000001</v>
      </c>
      <c r="G49" s="885">
        <f t="shared" si="45"/>
        <v>179.76100000000002</v>
      </c>
      <c r="H49" s="885">
        <f t="shared" ref="H49:O49" si="46">SUM(H40:H48)</f>
        <v>119.68300000000008</v>
      </c>
      <c r="I49" s="885">
        <f t="shared" si="46"/>
        <v>277.37899999999996</v>
      </c>
      <c r="J49" s="885">
        <f t="shared" si="46"/>
        <v>211.24199999999996</v>
      </c>
      <c r="K49" s="885">
        <f t="shared" si="46"/>
        <v>233.13199999999986</v>
      </c>
      <c r="L49" s="885">
        <f t="shared" si="46"/>
        <v>330.00699999999995</v>
      </c>
      <c r="M49" s="885">
        <f t="shared" ref="M49:N49" si="47">SUM(M40:M48)</f>
        <v>318.39843773000018</v>
      </c>
      <c r="N49" s="885">
        <f t="shared" si="47"/>
        <v>184.33699999999993</v>
      </c>
      <c r="O49" s="885">
        <f t="shared" si="46"/>
        <v>788.06499999999983</v>
      </c>
      <c r="P49" s="887">
        <f>SUM(P40:P48)</f>
        <v>1065.8744377299995</v>
      </c>
      <c r="S49" s="48"/>
      <c r="T49" s="35"/>
      <c r="U49" s="35"/>
      <c r="V49" s="35"/>
    </row>
    <row r="50" spans="2:22" s="9" customFormat="1" ht="13.5" customHeight="1" x14ac:dyDescent="0.2">
      <c r="B50" s="287"/>
      <c r="C50" s="288"/>
      <c r="D50" s="288"/>
      <c r="E50" s="288"/>
      <c r="F50" s="288"/>
      <c r="G50" s="288"/>
      <c r="H50" s="288"/>
      <c r="I50" s="288"/>
      <c r="J50" s="288"/>
      <c r="K50" s="288"/>
      <c r="L50" s="288"/>
      <c r="M50" s="288"/>
      <c r="N50" s="288"/>
      <c r="O50" s="288"/>
      <c r="P50" s="311"/>
    </row>
    <row r="51" spans="2:22" s="9" customFormat="1" ht="24" customHeight="1" x14ac:dyDescent="0.2">
      <c r="B51" s="306" t="s">
        <v>244</v>
      </c>
      <c r="C51" s="307">
        <v>-13.125</v>
      </c>
      <c r="D51" s="307">
        <v>-13.125</v>
      </c>
      <c r="E51" s="307">
        <v>-13.125</v>
      </c>
      <c r="F51" s="307">
        <v>-13.125</v>
      </c>
      <c r="G51" s="307">
        <v>-13.125</v>
      </c>
      <c r="H51" s="307">
        <v>-13.125</v>
      </c>
      <c r="I51" s="307">
        <v>-13.125</v>
      </c>
      <c r="J51" s="307">
        <v>-13.125</v>
      </c>
      <c r="K51" s="307">
        <v>-13.125</v>
      </c>
      <c r="L51" s="307">
        <v>-13.125</v>
      </c>
      <c r="M51" s="307">
        <v>-13.125</v>
      </c>
      <c r="N51" s="307">
        <v>-13.125</v>
      </c>
      <c r="O51" s="307">
        <f>G51+H51+I51+J51</f>
        <v>-52.5</v>
      </c>
      <c r="P51" s="308">
        <f>K51+L51+N51+M51</f>
        <v>-52.5</v>
      </c>
    </row>
    <row r="52" spans="2:22" s="9" customFormat="1" ht="24" customHeight="1" x14ac:dyDescent="0.2">
      <c r="B52" s="293" t="s">
        <v>247</v>
      </c>
      <c r="C52" s="294">
        <f t="shared" ref="C52" si="48">C49+C51</f>
        <v>508.13800000000015</v>
      </c>
      <c r="D52" s="294">
        <f t="shared" ref="D52" si="49">D49+D51</f>
        <v>79.336999999999975</v>
      </c>
      <c r="E52" s="294">
        <f t="shared" ref="E52" si="50">E49+E51</f>
        <v>102.52100000000004</v>
      </c>
      <c r="F52" s="294">
        <f>F49+F51</f>
        <v>156.43700000000001</v>
      </c>
      <c r="G52" s="294">
        <f>G49+G51</f>
        <v>166.63600000000002</v>
      </c>
      <c r="H52" s="294">
        <f t="shared" ref="H52" si="51">H49+H51</f>
        <v>106.55800000000008</v>
      </c>
      <c r="I52" s="294">
        <f t="shared" ref="I52" si="52">I49+I51</f>
        <v>264.25399999999996</v>
      </c>
      <c r="J52" s="294">
        <f t="shared" ref="J52" si="53">J49+J51</f>
        <v>198.11699999999996</v>
      </c>
      <c r="K52" s="294">
        <f t="shared" ref="K52:P52" si="54">K49+K51</f>
        <v>220.00699999999986</v>
      </c>
      <c r="L52" s="294">
        <f t="shared" si="54"/>
        <v>316.88199999999995</v>
      </c>
      <c r="M52" s="294">
        <f t="shared" ref="M52:N52" si="55">M49+M51</f>
        <v>305.27343773000018</v>
      </c>
      <c r="N52" s="294">
        <f t="shared" si="55"/>
        <v>171.21199999999993</v>
      </c>
      <c r="O52" s="294">
        <f t="shared" si="54"/>
        <v>735.56499999999983</v>
      </c>
      <c r="P52" s="886">
        <f t="shared" si="54"/>
        <v>1013.3744377299995</v>
      </c>
    </row>
    <row r="53" spans="2:22" s="9" customFormat="1" ht="24" customHeight="1" x14ac:dyDescent="0.2">
      <c r="B53" s="305" t="s">
        <v>176</v>
      </c>
      <c r="C53" s="303">
        <f t="shared" ref="C53:L53" si="56">C52/C55</f>
        <v>0.40639101109898507</v>
      </c>
      <c r="D53" s="303">
        <f t="shared" si="56"/>
        <v>6.3450959478645874E-2</v>
      </c>
      <c r="E53" s="303">
        <f t="shared" si="56"/>
        <v>8.1992712312165303E-2</v>
      </c>
      <c r="F53" s="303">
        <f t="shared" si="56"/>
        <v>0.12511284454870905</v>
      </c>
      <c r="G53" s="303">
        <f t="shared" si="56"/>
        <v>0.13330929644381997</v>
      </c>
      <c r="H53" s="303">
        <f t="shared" si="56"/>
        <v>8.5291343010887782E-2</v>
      </c>
      <c r="I53" s="303">
        <f t="shared" si="56"/>
        <v>0.21242883530718468</v>
      </c>
      <c r="J53" s="303">
        <f t="shared" si="56"/>
        <v>0.15911450323368179</v>
      </c>
      <c r="K53" s="303">
        <f t="shared" si="56"/>
        <v>0.17658569304283309</v>
      </c>
      <c r="L53" s="303">
        <f t="shared" si="56"/>
        <v>0.2544803568765413</v>
      </c>
      <c r="M53" s="303">
        <f t="shared" ref="M53:N53" si="57">M52/M55</f>
        <v>0.24488039565950162</v>
      </c>
      <c r="N53" s="303">
        <f t="shared" si="57"/>
        <v>0.13740515444331891</v>
      </c>
      <c r="O53" s="303">
        <f>G53+H53+I53+J53</f>
        <v>0.59014397799557428</v>
      </c>
      <c r="P53" s="304">
        <f>K53+L53+N53+M53</f>
        <v>0.81335160002219486</v>
      </c>
    </row>
    <row r="54" spans="2:22" s="9" customFormat="1" ht="15.75" customHeight="1" x14ac:dyDescent="0.2">
      <c r="B54" s="279"/>
      <c r="C54" s="280"/>
      <c r="D54" s="280"/>
      <c r="E54" s="280"/>
      <c r="F54" s="280"/>
      <c r="G54" s="280"/>
      <c r="H54" s="280"/>
      <c r="I54" s="280"/>
      <c r="J54" s="280"/>
      <c r="K54" s="280"/>
      <c r="L54" s="280"/>
      <c r="M54" s="280"/>
      <c r="N54" s="280"/>
      <c r="O54" s="280"/>
      <c r="P54" s="280"/>
    </row>
    <row r="55" spans="2:22" s="9" customFormat="1" ht="24" customHeight="1" x14ac:dyDescent="0.2">
      <c r="B55" s="274" t="s">
        <v>248</v>
      </c>
      <c r="C55" s="833">
        <v>1250.367223</v>
      </c>
      <c r="D55" s="833">
        <v>1250.367223</v>
      </c>
      <c r="E55" s="833">
        <v>1250.367223</v>
      </c>
      <c r="F55" s="833">
        <v>1250.367223</v>
      </c>
      <c r="G55" s="833">
        <v>1249.995345</v>
      </c>
      <c r="H55" s="833">
        <v>1249.3413309999999</v>
      </c>
      <c r="I55" s="833">
        <v>1243.9648299999999</v>
      </c>
      <c r="J55" s="833">
        <v>1245.122198</v>
      </c>
      <c r="K55" s="833">
        <v>1245.8936859999999</v>
      </c>
      <c r="L55" s="833">
        <v>1245.212023</v>
      </c>
      <c r="M55" s="833">
        <v>1246.622609</v>
      </c>
      <c r="N55" s="833">
        <v>1246.037681</v>
      </c>
      <c r="O55" s="833">
        <f>J55</f>
        <v>1245.122198</v>
      </c>
      <c r="P55" s="833">
        <f>N55</f>
        <v>1246.037681</v>
      </c>
    </row>
    <row r="56" spans="2:22" s="9" customFormat="1" ht="24" customHeight="1" x14ac:dyDescent="0.2">
      <c r="B56" s="172" t="s">
        <v>540</v>
      </c>
      <c r="C56" s="172"/>
      <c r="D56" s="172"/>
      <c r="E56" s="172"/>
      <c r="F56" s="172"/>
      <c r="G56" s="172"/>
      <c r="H56" s="172"/>
      <c r="I56" s="172"/>
      <c r="J56" s="172"/>
      <c r="K56" s="172"/>
      <c r="L56" s="172"/>
      <c r="M56" s="172"/>
      <c r="N56" s="172"/>
      <c r="O56" s="172"/>
      <c r="P56" s="172"/>
    </row>
    <row r="57" spans="2:22" s="9" customFormat="1" ht="12.75" customHeight="1" x14ac:dyDescent="0.2">
      <c r="B57" s="124"/>
      <c r="C57" s="152"/>
      <c r="D57" s="152"/>
      <c r="E57" s="152"/>
      <c r="F57" s="152"/>
      <c r="G57" s="152"/>
      <c r="H57" s="152"/>
      <c r="I57" s="152"/>
      <c r="J57" s="152"/>
      <c r="K57" s="152"/>
      <c r="L57" s="152"/>
      <c r="M57" s="152"/>
      <c r="N57" s="152"/>
      <c r="O57" s="152"/>
      <c r="P57" s="152"/>
    </row>
    <row r="58" spans="2:22" s="9" customFormat="1" ht="21.75" customHeight="1" x14ac:dyDescent="0.2">
      <c r="B58" s="938" t="s">
        <v>593</v>
      </c>
      <c r="C58" s="938"/>
      <c r="D58" s="938"/>
      <c r="E58" s="938"/>
      <c r="F58" s="938"/>
      <c r="G58" s="938"/>
      <c r="H58" s="938"/>
      <c r="I58" s="938"/>
      <c r="J58" s="938"/>
      <c r="K58" s="938"/>
      <c r="L58" s="938"/>
      <c r="M58" s="938"/>
      <c r="N58" s="938"/>
      <c r="O58" s="938"/>
      <c r="P58" s="938"/>
    </row>
    <row r="59" spans="2:22" s="9" customFormat="1" ht="21.75" customHeight="1" x14ac:dyDescent="0.2">
      <c r="B59" s="172" t="s">
        <v>524</v>
      </c>
      <c r="C59" s="173"/>
      <c r="D59" s="173"/>
      <c r="E59" s="173"/>
      <c r="F59" s="173"/>
      <c r="G59" s="173"/>
      <c r="H59" s="173"/>
      <c r="I59" s="173"/>
      <c r="J59" s="173"/>
      <c r="K59" s="173"/>
      <c r="L59" s="173"/>
      <c r="M59" s="173"/>
      <c r="N59" s="173"/>
      <c r="O59" s="173"/>
      <c r="P59" s="173"/>
    </row>
    <row r="60" spans="2:22" s="9" customFormat="1" ht="21.75" customHeight="1" x14ac:dyDescent="0.2">
      <c r="B60" s="124" t="s">
        <v>585</v>
      </c>
      <c r="C60" s="173"/>
      <c r="D60" s="173"/>
      <c r="E60" s="173"/>
      <c r="F60" s="173"/>
      <c r="G60" s="173"/>
      <c r="H60" s="173"/>
      <c r="I60" s="173"/>
      <c r="J60" s="173"/>
      <c r="K60" s="173"/>
      <c r="L60" s="173"/>
      <c r="M60" s="173"/>
      <c r="N60" s="173"/>
      <c r="O60" s="173"/>
      <c r="P60" s="173"/>
    </row>
    <row r="61" spans="2:22" ht="21.75" customHeight="1" x14ac:dyDescent="0.2">
      <c r="B61" s="172" t="s">
        <v>586</v>
      </c>
      <c r="C61" s="275"/>
      <c r="D61" s="275"/>
      <c r="E61" s="275"/>
      <c r="F61" s="275"/>
      <c r="G61" s="275"/>
      <c r="H61" s="275"/>
      <c r="I61" s="275"/>
      <c r="J61" s="275"/>
      <c r="K61" s="275"/>
      <c r="L61" s="275"/>
      <c r="M61" s="275"/>
      <c r="N61" s="275"/>
      <c r="O61" s="275"/>
      <c r="P61" s="275"/>
    </row>
    <row r="62" spans="2:22" ht="21.75" customHeight="1" x14ac:dyDescent="0.2">
      <c r="B62" s="172" t="s">
        <v>587</v>
      </c>
      <c r="C62" s="172"/>
      <c r="D62" s="172"/>
      <c r="E62" s="172"/>
      <c r="F62" s="172"/>
      <c r="G62" s="172"/>
      <c r="H62" s="172"/>
      <c r="I62" s="172"/>
      <c r="J62" s="172"/>
      <c r="K62" s="172"/>
      <c r="L62" s="172"/>
      <c r="M62" s="172"/>
      <c r="N62" s="172"/>
      <c r="O62" s="172"/>
      <c r="P62" s="172"/>
    </row>
    <row r="63" spans="2:22" ht="21.75" customHeight="1" x14ac:dyDescent="0.2">
      <c r="B63" s="172" t="s">
        <v>588</v>
      </c>
      <c r="C63" s="172"/>
      <c r="D63" s="172"/>
      <c r="E63" s="172"/>
      <c r="F63" s="172"/>
      <c r="G63" s="172"/>
      <c r="H63" s="172"/>
      <c r="I63" s="172"/>
      <c r="J63" s="172"/>
      <c r="K63" s="172"/>
      <c r="L63" s="172"/>
      <c r="M63" s="172"/>
      <c r="N63" s="172"/>
      <c r="O63" s="172"/>
      <c r="P63" s="172"/>
    </row>
    <row r="64" spans="2:22" s="9" customFormat="1" ht="21.75" customHeight="1" x14ac:dyDescent="0.2">
      <c r="B64" s="172" t="s">
        <v>607</v>
      </c>
      <c r="C64" s="173"/>
      <c r="D64" s="173"/>
      <c r="E64" s="173"/>
      <c r="F64" s="173"/>
      <c r="G64" s="173"/>
      <c r="H64" s="173"/>
      <c r="I64" s="173"/>
      <c r="J64" s="173"/>
      <c r="K64" s="173"/>
      <c r="L64" s="173"/>
      <c r="M64" s="173"/>
      <c r="N64" s="173"/>
      <c r="O64" s="173"/>
      <c r="P64" s="173"/>
    </row>
    <row r="65" spans="2:16" s="9" customFormat="1" ht="33.75" customHeight="1" x14ac:dyDescent="0.2">
      <c r="B65" s="938" t="s">
        <v>596</v>
      </c>
      <c r="C65" s="938"/>
      <c r="D65" s="938"/>
      <c r="E65" s="938"/>
      <c r="F65" s="938"/>
      <c r="G65" s="938"/>
      <c r="H65" s="938"/>
      <c r="I65" s="938"/>
      <c r="J65" s="938"/>
      <c r="K65" s="938"/>
      <c r="L65" s="938"/>
      <c r="M65" s="938"/>
      <c r="N65" s="938"/>
      <c r="O65" s="938"/>
      <c r="P65" s="938"/>
    </row>
    <row r="66" spans="2:16" s="9" customFormat="1" ht="21.75" customHeight="1" x14ac:dyDescent="0.2">
      <c r="B66" s="938" t="s">
        <v>589</v>
      </c>
      <c r="C66" s="938"/>
      <c r="D66" s="938"/>
      <c r="E66" s="938"/>
      <c r="F66" s="938"/>
      <c r="G66" s="938"/>
      <c r="H66" s="938"/>
      <c r="I66" s="938"/>
      <c r="J66" s="938"/>
      <c r="K66" s="938"/>
      <c r="L66" s="938"/>
      <c r="M66" s="938"/>
      <c r="N66" s="938"/>
      <c r="O66" s="938"/>
      <c r="P66" s="938"/>
    </row>
    <row r="67" spans="2:16" s="9" customFormat="1" ht="21.75" customHeight="1" x14ac:dyDescent="0.2">
      <c r="B67" s="938" t="s">
        <v>595</v>
      </c>
      <c r="C67" s="938"/>
      <c r="D67" s="938"/>
      <c r="E67" s="938"/>
      <c r="F67" s="938"/>
      <c r="G67" s="938"/>
      <c r="H67" s="938"/>
      <c r="I67" s="938"/>
      <c r="J67" s="938"/>
      <c r="K67" s="938"/>
      <c r="L67" s="938"/>
      <c r="M67" s="938"/>
      <c r="N67" s="938"/>
      <c r="O67" s="938"/>
      <c r="P67" s="938"/>
    </row>
    <row r="69" spans="2:16" ht="18.75" x14ac:dyDescent="0.2">
      <c r="C69" s="64"/>
      <c r="D69" s="64"/>
      <c r="E69" s="64"/>
      <c r="F69" s="64"/>
      <c r="G69" s="64"/>
      <c r="H69" s="64"/>
      <c r="I69" s="64"/>
      <c r="J69" s="64"/>
      <c r="K69" s="64"/>
      <c r="L69" s="64"/>
      <c r="M69" s="64"/>
      <c r="N69" s="64"/>
      <c r="O69" s="64"/>
      <c r="P69" s="64"/>
    </row>
  </sheetData>
  <mergeCells count="5">
    <mergeCell ref="B5:P5"/>
    <mergeCell ref="B58:P58"/>
    <mergeCell ref="B65:P65"/>
    <mergeCell ref="B66:P66"/>
    <mergeCell ref="B67:P67"/>
  </mergeCells>
  <phoneticPr fontId="24" type="noConversion"/>
  <hyperlinks>
    <hyperlink ref="P2" location="'Cover '!A1" display="Back to Cover" xr:uid="{C0DCBB4C-658A-4E07-B353-E5AD054E47B3}"/>
  </hyperlinks>
  <printOptions horizontalCentered="1" verticalCentered="1"/>
  <pageMargins left="0" right="0" top="0" bottom="0" header="0" footer="0"/>
  <pageSetup paperSize="8" scale="55" orientation="landscape" r:id="rId1"/>
  <headerFooter alignWithMargins="0"/>
  <ignoredErrors>
    <ignoredError sqref="O52:P52 O37:P37 M21 O28:O29 O3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59"/>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N29" sqref="N29"/>
    </sheetView>
  </sheetViews>
  <sheetFormatPr defaultColWidth="9.140625" defaultRowHeight="15.75" x14ac:dyDescent="0.2"/>
  <cols>
    <col min="1" max="1" width="2.42578125" style="6" customWidth="1"/>
    <col min="2" max="2" width="81.42578125" style="6" customWidth="1"/>
    <col min="3" max="14" width="16.140625" style="6" customWidth="1"/>
    <col min="15" max="15" width="4" style="33" customWidth="1"/>
    <col min="16" max="16" width="11" style="6" customWidth="1"/>
    <col min="17" max="17" width="2.42578125" style="6" customWidth="1"/>
    <col min="18" max="18" width="11.28515625" style="6" bestFit="1" customWidth="1"/>
    <col min="19" max="19" width="17.85546875" style="6" bestFit="1" customWidth="1"/>
    <col min="20" max="20" width="11.5703125" style="6" bestFit="1" customWidth="1"/>
    <col min="21" max="21" width="13.140625" style="6" customWidth="1"/>
    <col min="22" max="16384" width="9.140625" style="6"/>
  </cols>
  <sheetData>
    <row r="1" spans="1:23" ht="15.75" customHeight="1" x14ac:dyDescent="0.2">
      <c r="N1" s="120"/>
      <c r="O1" s="346"/>
      <c r="P1" s="120"/>
    </row>
    <row r="2" spans="1:23" ht="15.75" customHeight="1" x14ac:dyDescent="0.2">
      <c r="N2" s="318"/>
      <c r="O2" s="312"/>
      <c r="P2" s="122" t="s">
        <v>20</v>
      </c>
    </row>
    <row r="3" spans="1:23" ht="15.75" customHeight="1" x14ac:dyDescent="0.2">
      <c r="B3" s="12"/>
    </row>
    <row r="4" spans="1:23" ht="15.75" customHeight="1" x14ac:dyDescent="0.2"/>
    <row r="5" spans="1:23" s="17" customFormat="1" ht="28.5" x14ac:dyDescent="0.2">
      <c r="A5" s="16"/>
      <c r="B5" s="937" t="s">
        <v>5</v>
      </c>
      <c r="C5" s="937"/>
      <c r="D5" s="937"/>
      <c r="E5" s="937"/>
      <c r="F5" s="937"/>
      <c r="G5" s="937"/>
      <c r="H5" s="937"/>
      <c r="I5" s="937"/>
      <c r="J5" s="937"/>
      <c r="K5" s="937"/>
      <c r="L5" s="937"/>
      <c r="M5" s="937"/>
      <c r="N5" s="937"/>
      <c r="O5" s="937"/>
      <c r="P5" s="937"/>
      <c r="S5" s="76"/>
      <c r="T5" s="76"/>
      <c r="U5" s="76"/>
      <c r="W5" s="77"/>
    </row>
    <row r="6" spans="1:23" s="17" customFormat="1" ht="9" customHeight="1" x14ac:dyDescent="0.2">
      <c r="A6" s="16"/>
      <c r="B6" s="18"/>
      <c r="C6" s="18"/>
      <c r="D6" s="18"/>
      <c r="E6" s="18"/>
      <c r="F6" s="18"/>
      <c r="G6" s="18"/>
      <c r="H6" s="18"/>
      <c r="I6" s="18"/>
      <c r="J6" s="18"/>
      <c r="K6" s="18"/>
      <c r="L6" s="18"/>
      <c r="M6" s="18"/>
      <c r="N6" s="18"/>
      <c r="O6" s="18"/>
    </row>
    <row r="7" spans="1:23" s="17" customFormat="1" ht="15.75" customHeight="1" x14ac:dyDescent="0.2">
      <c r="A7" s="18"/>
      <c r="B7" s="6"/>
      <c r="C7" s="32"/>
      <c r="D7" s="32"/>
      <c r="E7" s="32"/>
      <c r="F7" s="32"/>
      <c r="G7" s="32"/>
      <c r="H7" s="32"/>
      <c r="I7" s="32"/>
      <c r="J7" s="32"/>
      <c r="K7" s="32"/>
      <c r="L7" s="32"/>
      <c r="M7" s="32"/>
      <c r="N7" s="32"/>
      <c r="O7" s="34"/>
      <c r="P7" s="14"/>
      <c r="S7" s="76"/>
      <c r="T7" s="76"/>
      <c r="U7" s="76"/>
      <c r="W7" s="78"/>
    </row>
    <row r="8" spans="1:23" ht="16.5" customHeight="1" x14ac:dyDescent="0.2"/>
    <row r="9" spans="1:23" ht="33" customHeight="1" x14ac:dyDescent="0.2">
      <c r="B9" s="320" t="s">
        <v>0</v>
      </c>
      <c r="C9" s="187">
        <v>44651</v>
      </c>
      <c r="D9" s="187">
        <v>44742</v>
      </c>
      <c r="E9" s="187">
        <v>44834</v>
      </c>
      <c r="F9" s="187" t="s">
        <v>454</v>
      </c>
      <c r="G9" s="187">
        <v>45016</v>
      </c>
      <c r="H9" s="187">
        <v>45107</v>
      </c>
      <c r="I9" s="187">
        <v>45199</v>
      </c>
      <c r="J9" s="187">
        <v>45291</v>
      </c>
      <c r="K9" s="187">
        <v>45382</v>
      </c>
      <c r="L9" s="187">
        <v>45473</v>
      </c>
      <c r="M9" s="191">
        <v>45565</v>
      </c>
      <c r="N9" s="190">
        <v>45657</v>
      </c>
      <c r="O9" s="312"/>
      <c r="P9" s="341" t="s">
        <v>35</v>
      </c>
    </row>
    <row r="10" spans="1:23" ht="19.5" customHeight="1" x14ac:dyDescent="0.35">
      <c r="B10" s="321" t="s">
        <v>6</v>
      </c>
      <c r="C10" s="313"/>
      <c r="D10" s="313"/>
      <c r="E10" s="313"/>
      <c r="F10" s="313"/>
      <c r="G10" s="313"/>
      <c r="H10" s="313"/>
      <c r="I10" s="322"/>
      <c r="J10" s="313"/>
      <c r="K10" s="313"/>
      <c r="L10" s="322"/>
      <c r="M10" s="866"/>
      <c r="N10" s="323"/>
      <c r="O10" s="312"/>
      <c r="P10" s="342"/>
    </row>
    <row r="11" spans="1:23" s="9" customFormat="1" ht="19.5" customHeight="1" x14ac:dyDescent="0.35">
      <c r="B11" s="324" t="s">
        <v>26</v>
      </c>
      <c r="C11" s="313">
        <v>17962.309000000001</v>
      </c>
      <c r="D11" s="313">
        <v>17900.582999999999</v>
      </c>
      <c r="E11" s="313">
        <v>18296.858</v>
      </c>
      <c r="F11" s="313">
        <v>9653.3209999999999</v>
      </c>
      <c r="G11" s="313">
        <v>9575.5249999999996</v>
      </c>
      <c r="H11" s="313">
        <v>10606.468999999999</v>
      </c>
      <c r="I11" s="313">
        <v>12687.053</v>
      </c>
      <c r="J11" s="313">
        <v>10567.495999999999</v>
      </c>
      <c r="K11" s="313">
        <v>11108.459000000001</v>
      </c>
      <c r="L11" s="322">
        <v>8754.6980000000003</v>
      </c>
      <c r="M11" s="866">
        <v>9797.7493262399985</v>
      </c>
      <c r="N11" s="323">
        <v>7422.5169999999998</v>
      </c>
      <c r="O11" s="314"/>
      <c r="P11" s="343">
        <f>N11/M11-1</f>
        <v>-0.24242632130613229</v>
      </c>
      <c r="Q11" s="47"/>
      <c r="R11" s="730"/>
      <c r="S11" s="817"/>
    </row>
    <row r="12" spans="1:23" s="9" customFormat="1" ht="19.5" customHeight="1" x14ac:dyDescent="0.35">
      <c r="B12" s="324" t="s">
        <v>27</v>
      </c>
      <c r="C12" s="313">
        <v>713.46199999999999</v>
      </c>
      <c r="D12" s="313">
        <v>764.02</v>
      </c>
      <c r="E12" s="313">
        <v>791.03899999999999</v>
      </c>
      <c r="F12" s="313">
        <v>1414.6933094702283</v>
      </c>
      <c r="G12" s="313">
        <v>952.57899999999995</v>
      </c>
      <c r="H12" s="313">
        <v>725.86500000000001</v>
      </c>
      <c r="I12" s="313">
        <v>737.42499999999995</v>
      </c>
      <c r="J12" s="313">
        <v>1034.0170000000001</v>
      </c>
      <c r="K12" s="313">
        <v>1614.3720000000001</v>
      </c>
      <c r="L12" s="322">
        <v>1453.297</v>
      </c>
      <c r="M12" s="866">
        <v>1635.99229694</v>
      </c>
      <c r="N12" s="323">
        <v>2351.94</v>
      </c>
      <c r="O12" s="314"/>
      <c r="P12" s="343">
        <f t="shared" ref="P12:P24" si="0">N12/M12-1</f>
        <v>0.4376229059263459</v>
      </c>
      <c r="Q12" s="39"/>
      <c r="R12" s="730"/>
      <c r="S12" s="817"/>
      <c r="U12" s="61"/>
      <c r="V12" s="40"/>
    </row>
    <row r="13" spans="1:23" s="9" customFormat="1" ht="19.5" customHeight="1" x14ac:dyDescent="0.35">
      <c r="B13" s="325" t="s">
        <v>144</v>
      </c>
      <c r="C13" s="313">
        <v>37066.123</v>
      </c>
      <c r="D13" s="313">
        <v>36923.947999999997</v>
      </c>
      <c r="E13" s="313">
        <v>37634.457999999999</v>
      </c>
      <c r="F13" s="313">
        <v>38787.358</v>
      </c>
      <c r="G13" s="313">
        <v>36761.303</v>
      </c>
      <c r="H13" s="313">
        <v>36924.800999999999</v>
      </c>
      <c r="I13" s="313">
        <v>37235.016000000003</v>
      </c>
      <c r="J13" s="313">
        <v>38345.618999999999</v>
      </c>
      <c r="K13" s="313">
        <v>37147.894</v>
      </c>
      <c r="L13" s="322">
        <v>38348.089999999997</v>
      </c>
      <c r="M13" s="866">
        <v>38985.6481031</v>
      </c>
      <c r="N13" s="323">
        <v>41375.411999999997</v>
      </c>
      <c r="O13" s="314"/>
      <c r="P13" s="343">
        <f t="shared" si="0"/>
        <v>6.1298555062625049E-2</v>
      </c>
      <c r="Q13" s="339"/>
      <c r="R13" s="730"/>
      <c r="S13" s="817"/>
      <c r="U13" s="39"/>
    </row>
    <row r="14" spans="1:23" s="9" customFormat="1" ht="19.5" customHeight="1" x14ac:dyDescent="0.35">
      <c r="B14" s="325" t="s">
        <v>249</v>
      </c>
      <c r="C14" s="313">
        <v>2066.942</v>
      </c>
      <c r="D14" s="313">
        <v>1554.865</v>
      </c>
      <c r="E14" s="313">
        <v>1619.0719999999999</v>
      </c>
      <c r="F14" s="313">
        <v>1420.854</v>
      </c>
      <c r="G14" s="313">
        <v>1348.92</v>
      </c>
      <c r="H14" s="313">
        <v>1152.9960000000001</v>
      </c>
      <c r="I14" s="313">
        <v>1160.7080000000001</v>
      </c>
      <c r="J14" s="313">
        <v>818.95799999999997</v>
      </c>
      <c r="K14" s="313">
        <v>783.85199999999998</v>
      </c>
      <c r="L14" s="322">
        <v>742.88</v>
      </c>
      <c r="M14" s="866">
        <v>774.10436860000004</v>
      </c>
      <c r="N14" s="323">
        <v>690.85599999999999</v>
      </c>
      <c r="O14" s="314"/>
      <c r="P14" s="343">
        <f t="shared" si="0"/>
        <v>-0.10754153054394744</v>
      </c>
      <c r="Q14" s="39"/>
      <c r="R14" s="730"/>
      <c r="S14" s="817"/>
    </row>
    <row r="15" spans="1:23" s="9" customFormat="1" ht="19.5" customHeight="1" x14ac:dyDescent="0.35">
      <c r="B15" s="325" t="s">
        <v>250</v>
      </c>
      <c r="C15" s="313">
        <v>34999.180999999997</v>
      </c>
      <c r="D15" s="313">
        <v>35369.082999999999</v>
      </c>
      <c r="E15" s="313">
        <v>36015.385999999999</v>
      </c>
      <c r="F15" s="313">
        <v>37366.504000000001</v>
      </c>
      <c r="G15" s="313">
        <v>35412.383000000002</v>
      </c>
      <c r="H15" s="313">
        <v>35771.805</v>
      </c>
      <c r="I15" s="313">
        <v>36074.308000000005</v>
      </c>
      <c r="J15" s="313">
        <v>37526.661</v>
      </c>
      <c r="K15" s="313">
        <v>36364.042000000001</v>
      </c>
      <c r="L15" s="322">
        <v>37605.21</v>
      </c>
      <c r="M15" s="866">
        <v>38211.543734500003</v>
      </c>
      <c r="N15" s="323">
        <v>40684.555999999997</v>
      </c>
      <c r="O15" s="314"/>
      <c r="P15" s="343">
        <f t="shared" si="0"/>
        <v>6.4718983422467513E-2</v>
      </c>
      <c r="Q15" s="47"/>
      <c r="R15" s="730"/>
      <c r="S15" s="817"/>
      <c r="T15" s="40"/>
    </row>
    <row r="16" spans="1:23" s="9" customFormat="1" ht="19.5" customHeight="1" x14ac:dyDescent="0.35">
      <c r="B16" s="325" t="s">
        <v>208</v>
      </c>
      <c r="C16" s="313">
        <v>12726.203000000001</v>
      </c>
      <c r="D16" s="313">
        <v>14168.24</v>
      </c>
      <c r="E16" s="313">
        <v>13902.302</v>
      </c>
      <c r="F16" s="313">
        <v>12691.621882388476</v>
      </c>
      <c r="G16" s="313">
        <v>15124.817000000001</v>
      </c>
      <c r="H16" s="313">
        <v>16006.099</v>
      </c>
      <c r="I16" s="313">
        <v>16048.777</v>
      </c>
      <c r="J16" s="313">
        <v>14076.643</v>
      </c>
      <c r="K16" s="313">
        <v>14964.045999999998</v>
      </c>
      <c r="L16" s="322">
        <v>15579.439</v>
      </c>
      <c r="M16" s="866">
        <v>16223.018483140002</v>
      </c>
      <c r="N16" s="323">
        <v>16836.535</v>
      </c>
      <c r="O16" s="314"/>
      <c r="P16" s="343">
        <f t="shared" si="0"/>
        <v>3.7817655049681598E-2</v>
      </c>
      <c r="Q16" s="39"/>
      <c r="R16" s="730"/>
      <c r="S16" s="817"/>
      <c r="T16" s="40"/>
      <c r="U16" s="40"/>
    </row>
    <row r="17" spans="2:24" s="9" customFormat="1" ht="19.5" customHeight="1" x14ac:dyDescent="0.35">
      <c r="B17" s="324" t="s">
        <v>145</v>
      </c>
      <c r="C17" s="313">
        <v>540.50900000000001</v>
      </c>
      <c r="D17" s="313">
        <v>534.07399999999996</v>
      </c>
      <c r="E17" s="313">
        <v>669.65599999999995</v>
      </c>
      <c r="F17" s="313">
        <v>1023.0170000000001</v>
      </c>
      <c r="G17" s="313">
        <v>1039.75</v>
      </c>
      <c r="H17" s="313">
        <v>1077.6510000000001</v>
      </c>
      <c r="I17" s="322">
        <v>1207.057</v>
      </c>
      <c r="J17" s="313">
        <v>1254.9649999999999</v>
      </c>
      <c r="K17" s="313">
        <v>1263.875</v>
      </c>
      <c r="L17" s="322">
        <v>1269.2370000000001</v>
      </c>
      <c r="M17" s="866">
        <v>1255.1310222</v>
      </c>
      <c r="N17" s="323">
        <v>1294.8520000000001</v>
      </c>
      <c r="O17" s="314"/>
      <c r="P17" s="343">
        <f t="shared" si="0"/>
        <v>3.164687757488216E-2</v>
      </c>
      <c r="Q17" s="39"/>
      <c r="R17" s="730"/>
      <c r="S17" s="817"/>
      <c r="T17" s="73"/>
      <c r="U17" s="40"/>
      <c r="W17" s="39"/>
    </row>
    <row r="18" spans="2:24" s="9" customFormat="1" ht="19.5" customHeight="1" x14ac:dyDescent="0.35">
      <c r="B18" s="324" t="s">
        <v>146</v>
      </c>
      <c r="C18" s="313">
        <v>12.702999999999999</v>
      </c>
      <c r="D18" s="313">
        <v>12.701000000000001</v>
      </c>
      <c r="E18" s="313">
        <v>26.506</v>
      </c>
      <c r="F18" s="313">
        <v>26.884</v>
      </c>
      <c r="G18" s="313">
        <v>26.978999999999999</v>
      </c>
      <c r="H18" s="313">
        <v>26.934000000000001</v>
      </c>
      <c r="I18" s="322">
        <v>26.834</v>
      </c>
      <c r="J18" s="313">
        <v>26.149000000000001</v>
      </c>
      <c r="K18" s="313">
        <v>26.143999999999998</v>
      </c>
      <c r="L18" s="322">
        <v>26.140999999999998</v>
      </c>
      <c r="M18" s="866">
        <v>26.138280010000003</v>
      </c>
      <c r="N18" s="323">
        <v>26.135000000000002</v>
      </c>
      <c r="O18" s="314"/>
      <c r="P18" s="343">
        <f t="shared" si="0"/>
        <v>-1.2548683382174186E-4</v>
      </c>
      <c r="Q18" s="39"/>
      <c r="R18" s="730"/>
      <c r="S18" s="817"/>
      <c r="T18" s="40"/>
      <c r="U18" s="39"/>
      <c r="W18" s="39"/>
    </row>
    <row r="19" spans="2:24" s="9" customFormat="1" ht="19.5" customHeight="1" x14ac:dyDescent="0.35">
      <c r="B19" s="324" t="s">
        <v>147</v>
      </c>
      <c r="C19" s="313">
        <v>252.41399999999999</v>
      </c>
      <c r="D19" s="313">
        <v>270.46300000000002</v>
      </c>
      <c r="E19" s="313">
        <v>272.971</v>
      </c>
      <c r="F19" s="313">
        <v>285.13200000000001</v>
      </c>
      <c r="G19" s="313">
        <v>286.298</v>
      </c>
      <c r="H19" s="313">
        <v>303.16800000000001</v>
      </c>
      <c r="I19" s="322">
        <v>305.41800000000001</v>
      </c>
      <c r="J19" s="313">
        <v>321.005</v>
      </c>
      <c r="K19" s="313">
        <v>320.041</v>
      </c>
      <c r="L19" s="322">
        <v>339.74599999999998</v>
      </c>
      <c r="M19" s="866">
        <v>359.01883919000005</v>
      </c>
      <c r="N19" s="323">
        <v>390.37</v>
      </c>
      <c r="O19" s="314"/>
      <c r="P19" s="343">
        <f t="shared" si="0"/>
        <v>8.7324556228672634E-2</v>
      </c>
      <c r="Q19" s="39"/>
      <c r="R19" s="730"/>
      <c r="S19" s="817"/>
      <c r="T19" s="40"/>
      <c r="U19" s="40"/>
      <c r="V19" s="40"/>
      <c r="W19" s="103"/>
      <c r="X19" s="39"/>
    </row>
    <row r="20" spans="2:24" s="9" customFormat="1" ht="19.5" customHeight="1" x14ac:dyDescent="0.35">
      <c r="B20" s="324" t="s">
        <v>148</v>
      </c>
      <c r="C20" s="313">
        <v>2234.3519999999999</v>
      </c>
      <c r="D20" s="313">
        <v>2302.94873951</v>
      </c>
      <c r="E20" s="313">
        <v>2314.174</v>
      </c>
      <c r="F20" s="313">
        <v>2249.8482648300001</v>
      </c>
      <c r="G20" s="313">
        <v>2279.1350000000002</v>
      </c>
      <c r="H20" s="313">
        <v>2500.1993455800002</v>
      </c>
      <c r="I20" s="322">
        <v>2440.6916056599998</v>
      </c>
      <c r="J20" s="313">
        <v>2489.33557746</v>
      </c>
      <c r="K20" s="313">
        <v>2528.9817922500001</v>
      </c>
      <c r="L20" s="322">
        <v>2600.5399731699999</v>
      </c>
      <c r="M20" s="866">
        <v>2573.9745949800003</v>
      </c>
      <c r="N20" s="323">
        <v>2545.0944952700002</v>
      </c>
      <c r="O20" s="314"/>
      <c r="P20" s="343">
        <f t="shared" si="0"/>
        <v>-1.1220040697497491E-2</v>
      </c>
      <c r="Q20" s="39"/>
      <c r="R20" s="730"/>
      <c r="S20" s="817"/>
      <c r="U20" s="52"/>
    </row>
    <row r="21" spans="2:24" s="9" customFormat="1" ht="19.5" customHeight="1" x14ac:dyDescent="0.35">
      <c r="B21" s="324" t="s">
        <v>149</v>
      </c>
      <c r="C21" s="313">
        <v>6104.8459999999995</v>
      </c>
      <c r="D21" s="313">
        <v>6127.7669999999998</v>
      </c>
      <c r="E21" s="313">
        <v>6073.9040000000005</v>
      </c>
      <c r="F21" s="313">
        <v>5974.3810000000003</v>
      </c>
      <c r="G21" s="313">
        <v>5899.0709999999999</v>
      </c>
      <c r="H21" s="313">
        <v>5893.2340000000004</v>
      </c>
      <c r="I21" s="322">
        <v>5801.2669999999998</v>
      </c>
      <c r="J21" s="313">
        <v>5703.1729999999998</v>
      </c>
      <c r="K21" s="313">
        <v>5616.06</v>
      </c>
      <c r="L21" s="322">
        <v>5505.9870000000001</v>
      </c>
      <c r="M21" s="866">
        <v>5396.4491683299993</v>
      </c>
      <c r="N21" s="323">
        <v>5363.3379999999997</v>
      </c>
      <c r="O21" s="314"/>
      <c r="P21" s="343">
        <f t="shared" si="0"/>
        <v>-6.1357324598401153E-3</v>
      </c>
      <c r="Q21" s="39"/>
      <c r="R21" s="730"/>
      <c r="S21" s="817"/>
    </row>
    <row r="22" spans="2:24" s="9" customFormat="1" ht="19.5" customHeight="1" x14ac:dyDescent="0.35">
      <c r="B22" s="331" t="s">
        <v>532</v>
      </c>
      <c r="C22" s="313">
        <v>3602.7619389494694</v>
      </c>
      <c r="D22" s="313">
        <v>3588.9699256760696</v>
      </c>
      <c r="E22" s="313">
        <v>3562.8848493604301</v>
      </c>
      <c r="F22" s="313">
        <v>3486.1660910685</v>
      </c>
      <c r="G22" s="313">
        <v>3440.3170777951</v>
      </c>
      <c r="H22" s="313">
        <v>3394.4680645216999</v>
      </c>
      <c r="I22" s="322">
        <v>3348.6191556173926</v>
      </c>
      <c r="J22" s="313">
        <v>3302.7706984370798</v>
      </c>
      <c r="K22" s="313">
        <v>3256.92178949258</v>
      </c>
      <c r="L22" s="322">
        <v>3211.0728811644803</v>
      </c>
      <c r="M22" s="866">
        <v>3165.2</v>
      </c>
      <c r="N22" s="323">
        <v>3119.45</v>
      </c>
      <c r="O22" s="314"/>
      <c r="P22" s="343">
        <f t="shared" si="0"/>
        <v>-1.445406293441176E-2</v>
      </c>
      <c r="Q22" s="39"/>
      <c r="R22" s="730"/>
      <c r="S22" s="817"/>
    </row>
    <row r="23" spans="2:24" s="9" customFormat="1" ht="19.5" customHeight="1" x14ac:dyDescent="0.35">
      <c r="B23" s="324" t="s">
        <v>150</v>
      </c>
      <c r="C23" s="313">
        <v>3652.1610000000001</v>
      </c>
      <c r="D23" s="313">
        <v>3800.7888938299998</v>
      </c>
      <c r="E23" s="313">
        <v>3821.5949999999998</v>
      </c>
      <c r="F23" s="313">
        <v>3553.5458182800003</v>
      </c>
      <c r="G23" s="313">
        <v>3723.4319999999998</v>
      </c>
      <c r="H23" s="313">
        <v>3663.9480000000003</v>
      </c>
      <c r="I23" s="322">
        <v>3650.3960000000002</v>
      </c>
      <c r="J23" s="313">
        <v>3210.2640000000001</v>
      </c>
      <c r="K23" s="313">
        <v>3206.8090000000002</v>
      </c>
      <c r="L23" s="322">
        <v>3273.4349999999999</v>
      </c>
      <c r="M23" s="866">
        <v>3169.8700532000003</v>
      </c>
      <c r="N23" s="323">
        <v>2663.7280000000001</v>
      </c>
      <c r="O23" s="314"/>
      <c r="P23" s="343">
        <f t="shared" si="0"/>
        <v>-0.15967280825567187</v>
      </c>
      <c r="Q23" s="39"/>
      <c r="R23" s="730"/>
      <c r="S23" s="817"/>
    </row>
    <row r="24" spans="2:24" s="9" customFormat="1" ht="19.5" customHeight="1" x14ac:dyDescent="0.35">
      <c r="B24" s="324" t="s">
        <v>609</v>
      </c>
      <c r="C24" s="313">
        <v>297.892</v>
      </c>
      <c r="D24" s="313">
        <v>621.68778474999999</v>
      </c>
      <c r="E24" s="313">
        <v>471.678</v>
      </c>
      <c r="F24" s="313">
        <v>406.07100000000003</v>
      </c>
      <c r="G24" s="313">
        <v>359.916</v>
      </c>
      <c r="H24" s="313">
        <v>407.24099999999999</v>
      </c>
      <c r="I24" s="322">
        <v>279.65800000000002</v>
      </c>
      <c r="J24" s="313">
        <v>240.7</v>
      </c>
      <c r="K24" s="313">
        <v>237.60400000000001</v>
      </c>
      <c r="L24" s="322">
        <v>218.11699999999999</v>
      </c>
      <c r="M24" s="866">
        <v>141.54714231999998</v>
      </c>
      <c r="N24" s="323">
        <v>465.03699999999998</v>
      </c>
      <c r="O24" s="314"/>
      <c r="P24" s="343">
        <f t="shared" si="0"/>
        <v>2.2853860019913119</v>
      </c>
      <c r="Q24" s="39"/>
      <c r="R24" s="730"/>
      <c r="S24" s="817"/>
    </row>
    <row r="25" spans="2:24" s="9" customFormat="1" ht="29.25" customHeight="1" x14ac:dyDescent="0.2">
      <c r="B25" s="326" t="s">
        <v>251</v>
      </c>
      <c r="C25" s="315">
        <v>79496.032000000007</v>
      </c>
      <c r="D25" s="315">
        <v>81872.35641808997</v>
      </c>
      <c r="E25" s="315">
        <v>82656.067999999985</v>
      </c>
      <c r="F25" s="315">
        <v>74645.018274968708</v>
      </c>
      <c r="G25" s="315">
        <v>74679.885000000009</v>
      </c>
      <c r="H25" s="315">
        <v>76982.613345579986</v>
      </c>
      <c r="I25" s="315">
        <v>79258.884605659987</v>
      </c>
      <c r="J25" s="315">
        <v>76450.408577459995</v>
      </c>
      <c r="K25" s="315">
        <v>77250.432792250023</v>
      </c>
      <c r="L25" s="315">
        <v>76625.847973170006</v>
      </c>
      <c r="M25" s="336">
        <v>78790.432941050007</v>
      </c>
      <c r="N25" s="327">
        <v>80044.10249527001</v>
      </c>
      <c r="O25" s="314"/>
      <c r="P25" s="344">
        <f>N25/M25-1</f>
        <v>1.5911443907891565E-2</v>
      </c>
      <c r="Q25" s="340"/>
      <c r="R25" s="730"/>
      <c r="S25" s="817"/>
      <c r="T25" s="53"/>
      <c r="U25" s="73"/>
    </row>
    <row r="26" spans="2:24" s="9" customFormat="1" ht="18.75" customHeight="1" x14ac:dyDescent="0.35">
      <c r="B26" s="328"/>
      <c r="C26" s="316"/>
      <c r="D26" s="316"/>
      <c r="E26" s="316"/>
      <c r="F26" s="316"/>
      <c r="G26" s="316"/>
      <c r="H26" s="316"/>
      <c r="I26" s="329"/>
      <c r="J26" s="316"/>
      <c r="K26" s="316"/>
      <c r="L26" s="316"/>
      <c r="M26" s="867"/>
      <c r="N26" s="330"/>
      <c r="O26" s="314"/>
      <c r="P26" s="343"/>
    </row>
    <row r="27" spans="2:24" ht="19.5" customHeight="1" x14ac:dyDescent="0.35">
      <c r="B27" s="321" t="s">
        <v>11</v>
      </c>
      <c r="C27" s="329"/>
      <c r="D27" s="329"/>
      <c r="E27" s="316"/>
      <c r="F27" s="316"/>
      <c r="G27" s="316"/>
      <c r="H27" s="316"/>
      <c r="I27" s="329"/>
      <c r="J27" s="316"/>
      <c r="K27" s="316"/>
      <c r="L27" s="316"/>
      <c r="M27" s="867"/>
      <c r="N27" s="330"/>
      <c r="O27" s="312"/>
      <c r="P27" s="343"/>
    </row>
    <row r="28" spans="2:24" s="9" customFormat="1" ht="19.5" customHeight="1" x14ac:dyDescent="0.35">
      <c r="B28" s="324" t="s">
        <v>151</v>
      </c>
      <c r="C28" s="313">
        <v>14843.165999999999</v>
      </c>
      <c r="D28" s="313">
        <v>15405.651</v>
      </c>
      <c r="E28" s="313">
        <v>15455.851000000001</v>
      </c>
      <c r="F28" s="313">
        <v>6185.0345338500001</v>
      </c>
      <c r="G28" s="313">
        <v>6914.1940000000004</v>
      </c>
      <c r="H28" s="313">
        <v>7657.5020000000004</v>
      </c>
      <c r="I28" s="322">
        <v>8748.9509999999991</v>
      </c>
      <c r="J28" s="313">
        <v>4618.2560000000003</v>
      </c>
      <c r="K28" s="313">
        <v>6107.8720000000003</v>
      </c>
      <c r="L28" s="322">
        <v>3506.8319999999999</v>
      </c>
      <c r="M28" s="866">
        <v>3493.7685711099998</v>
      </c>
      <c r="N28" s="323">
        <v>2377.6129999999998</v>
      </c>
      <c r="O28" s="317"/>
      <c r="P28" s="343">
        <f>N28/M28-1</f>
        <v>-0.31947037944628021</v>
      </c>
      <c r="Q28" s="39"/>
      <c r="R28" s="730"/>
      <c r="S28" s="817"/>
    </row>
    <row r="29" spans="2:24" s="9" customFormat="1" ht="19.5" customHeight="1" x14ac:dyDescent="0.35">
      <c r="B29" s="331" t="s">
        <v>40</v>
      </c>
      <c r="C29" s="313">
        <v>14500</v>
      </c>
      <c r="D29" s="313">
        <v>14500</v>
      </c>
      <c r="E29" s="313">
        <v>14400</v>
      </c>
      <c r="F29" s="313">
        <v>5500</v>
      </c>
      <c r="G29" s="313">
        <v>5500</v>
      </c>
      <c r="H29" s="313">
        <v>5500</v>
      </c>
      <c r="I29" s="322">
        <v>5500</v>
      </c>
      <c r="J29" s="313">
        <v>3500</v>
      </c>
      <c r="K29" s="313">
        <v>3500</v>
      </c>
      <c r="L29" s="322">
        <v>1000</v>
      </c>
      <c r="M29" s="866">
        <v>1000</v>
      </c>
      <c r="N29" s="323">
        <v>0</v>
      </c>
      <c r="O29" s="317"/>
      <c r="P29" s="343">
        <f t="shared" ref="P29:P30" si="1">N29/M29-1</f>
        <v>-1</v>
      </c>
      <c r="Q29" s="39"/>
      <c r="R29" s="730"/>
      <c r="S29" s="817"/>
    </row>
    <row r="30" spans="2:24" s="9" customFormat="1" ht="19.5" customHeight="1" x14ac:dyDescent="0.35">
      <c r="B30" s="331" t="s">
        <v>41</v>
      </c>
      <c r="C30" s="313">
        <f t="shared" ref="C30" si="2">C28-C29</f>
        <v>343.16599999999926</v>
      </c>
      <c r="D30" s="313">
        <f t="shared" ref="D30" si="3">D28-D29</f>
        <v>905.65099999999984</v>
      </c>
      <c r="E30" s="313">
        <f t="shared" ref="E30" si="4">E28-E29</f>
        <v>1055.8510000000006</v>
      </c>
      <c r="F30" s="313">
        <f t="shared" ref="F30" si="5">F28-F29</f>
        <v>685.03453385000012</v>
      </c>
      <c r="G30" s="313">
        <f t="shared" ref="G30" si="6">G28-G29</f>
        <v>1414.1940000000004</v>
      </c>
      <c r="H30" s="313">
        <f t="shared" ref="H30" si="7">H28-H29</f>
        <v>2157.5020000000004</v>
      </c>
      <c r="I30" s="322">
        <f t="shared" ref="I30" si="8">I28-I29</f>
        <v>3248.9509999999991</v>
      </c>
      <c r="J30" s="313">
        <f t="shared" ref="J30" si="9">J28-J29</f>
        <v>1118.2560000000003</v>
      </c>
      <c r="K30" s="313">
        <f t="shared" ref="K30" si="10">K28-K29</f>
        <v>2607.8720000000003</v>
      </c>
      <c r="L30" s="322">
        <f t="shared" ref="L30" si="11">L28-L29</f>
        <v>2506.8319999999999</v>
      </c>
      <c r="M30" s="866">
        <f>M28-M29</f>
        <v>2493.7685711099998</v>
      </c>
      <c r="N30" s="323">
        <f t="shared" ref="N30" si="12">N28-N29</f>
        <v>2377.6129999999998</v>
      </c>
      <c r="O30" s="317"/>
      <c r="P30" s="343">
        <f t="shared" si="1"/>
        <v>-4.6578328260147295E-2</v>
      </c>
      <c r="Q30" s="39"/>
      <c r="R30" s="730"/>
      <c r="S30" s="817"/>
    </row>
    <row r="31" spans="2:24" s="9" customFormat="1" ht="19.5" customHeight="1" x14ac:dyDescent="0.35">
      <c r="B31" s="324" t="s">
        <v>152</v>
      </c>
      <c r="C31" s="313">
        <v>0</v>
      </c>
      <c r="D31" s="313">
        <v>0</v>
      </c>
      <c r="E31" s="313">
        <v>9.7000000000000003E-2</v>
      </c>
      <c r="F31" s="313">
        <v>9.7000000000000003E-2</v>
      </c>
      <c r="G31" s="313">
        <v>9.7000000000000003E-2</v>
      </c>
      <c r="H31" s="313">
        <v>9.7000000000000003E-2</v>
      </c>
      <c r="I31" s="322">
        <v>9.7000000000000003E-2</v>
      </c>
      <c r="J31" s="313">
        <v>9.7000000000000003E-2</v>
      </c>
      <c r="K31" s="313">
        <v>9.7000000000000003E-2</v>
      </c>
      <c r="L31" s="322">
        <v>9.7000000000000003E-2</v>
      </c>
      <c r="M31" s="866">
        <v>9.7113550000000007E-2</v>
      </c>
      <c r="N31" s="323">
        <v>9.7000000000000003E-2</v>
      </c>
      <c r="O31" s="317"/>
      <c r="P31" s="343" t="s">
        <v>184</v>
      </c>
      <c r="Q31" s="39"/>
      <c r="R31" s="730"/>
      <c r="S31" s="817"/>
      <c r="T31" s="40"/>
      <c r="U31" s="40"/>
      <c r="V31" s="39"/>
      <c r="W31" s="103"/>
    </row>
    <row r="32" spans="2:24" s="9" customFormat="1" ht="19.5" customHeight="1" x14ac:dyDescent="0.35">
      <c r="B32" s="324" t="s">
        <v>153</v>
      </c>
      <c r="C32" s="313">
        <v>352.846</v>
      </c>
      <c r="D32" s="313">
        <v>774.53899999999999</v>
      </c>
      <c r="E32" s="313">
        <v>679.07500000000005</v>
      </c>
      <c r="F32" s="313">
        <v>410.18930789111681</v>
      </c>
      <c r="G32" s="313">
        <v>626.82399999999996</v>
      </c>
      <c r="H32" s="313">
        <v>632.13199999999995</v>
      </c>
      <c r="I32" s="322">
        <v>679.12199999999996</v>
      </c>
      <c r="J32" s="313">
        <v>295.39299999999997</v>
      </c>
      <c r="K32" s="313">
        <v>283.32299999999998</v>
      </c>
      <c r="L32" s="322">
        <v>296.51900000000001</v>
      </c>
      <c r="M32" s="866">
        <v>250.69169073</v>
      </c>
      <c r="N32" s="323">
        <v>255.2</v>
      </c>
      <c r="O32" s="317"/>
      <c r="P32" s="343">
        <f>N32/M32-1</f>
        <v>1.7983481051454309E-2</v>
      </c>
      <c r="Q32" s="39"/>
      <c r="R32" s="730"/>
      <c r="S32" s="817"/>
      <c r="U32" s="40"/>
    </row>
    <row r="33" spans="2:27" s="9" customFormat="1" ht="19.5" customHeight="1" x14ac:dyDescent="0.35">
      <c r="B33" s="324" t="s">
        <v>154</v>
      </c>
      <c r="C33" s="313">
        <v>54853.94</v>
      </c>
      <c r="D33" s="313">
        <v>56079.063000000002</v>
      </c>
      <c r="E33" s="313">
        <v>56732.552000000003</v>
      </c>
      <c r="F33" s="313">
        <v>58371.917000000001</v>
      </c>
      <c r="G33" s="313">
        <v>57173.915000000001</v>
      </c>
      <c r="H33" s="313">
        <v>58381.487999999998</v>
      </c>
      <c r="I33" s="322">
        <v>58663.074000000001</v>
      </c>
      <c r="J33" s="313">
        <v>59566.654999999999</v>
      </c>
      <c r="K33" s="313">
        <v>58590.697999999997</v>
      </c>
      <c r="L33" s="322">
        <v>59757.434000000001</v>
      </c>
      <c r="M33" s="866">
        <v>60540.007188800002</v>
      </c>
      <c r="N33" s="323">
        <v>62852.860999999997</v>
      </c>
      <c r="O33" s="314"/>
      <c r="P33" s="343">
        <f t="shared" ref="P33:P37" si="13">N33/M33-1</f>
        <v>3.8203725413958667E-2</v>
      </c>
      <c r="Q33" s="39"/>
      <c r="R33" s="730"/>
      <c r="S33" s="817"/>
      <c r="T33" s="74"/>
      <c r="U33" s="40"/>
      <c r="W33" s="40"/>
      <c r="Y33" s="40"/>
      <c r="Z33" s="39"/>
      <c r="AA33" s="39"/>
    </row>
    <row r="34" spans="2:27" s="13" customFormat="1" ht="19.5" customHeight="1" x14ac:dyDescent="0.35">
      <c r="B34" s="324" t="s">
        <v>155</v>
      </c>
      <c r="C34" s="313">
        <v>1900.231</v>
      </c>
      <c r="D34" s="313">
        <v>1883.566</v>
      </c>
      <c r="E34" s="313">
        <v>1906.095</v>
      </c>
      <c r="F34" s="313">
        <v>1786.289</v>
      </c>
      <c r="G34" s="313">
        <v>1783.144</v>
      </c>
      <c r="H34" s="313">
        <v>1773.7460000000001</v>
      </c>
      <c r="I34" s="322">
        <v>2308.1460000000002</v>
      </c>
      <c r="J34" s="313">
        <v>2825.1149999999998</v>
      </c>
      <c r="K34" s="313">
        <v>3002.3990000000003</v>
      </c>
      <c r="L34" s="322">
        <v>3428.4289999999996</v>
      </c>
      <c r="M34" s="866">
        <v>4358.7717403500001</v>
      </c>
      <c r="N34" s="323">
        <v>4518.1900000000005</v>
      </c>
      <c r="O34" s="314"/>
      <c r="P34" s="343">
        <f t="shared" si="13"/>
        <v>3.657412435118701E-2</v>
      </c>
      <c r="Q34" s="39"/>
      <c r="R34" s="730"/>
      <c r="S34" s="817"/>
    </row>
    <row r="35" spans="2:27" s="9" customFormat="1" ht="19.5" customHeight="1" x14ac:dyDescent="0.35">
      <c r="B35" s="324" t="s">
        <v>156</v>
      </c>
      <c r="C35" s="313">
        <v>9.9710000000000001</v>
      </c>
      <c r="D35" s="313">
        <v>9.9179999999999993</v>
      </c>
      <c r="E35" s="313">
        <v>9.8930000000000007</v>
      </c>
      <c r="F35" s="313">
        <v>9.9359999999999999</v>
      </c>
      <c r="G35" s="313">
        <v>9.9640000000000004</v>
      </c>
      <c r="H35" s="313">
        <v>9.1920000000000002</v>
      </c>
      <c r="I35" s="322">
        <v>8.8620000000000001</v>
      </c>
      <c r="J35" s="313">
        <v>9.3369999999999997</v>
      </c>
      <c r="K35" s="313">
        <v>9.702</v>
      </c>
      <c r="L35" s="322">
        <v>9.5609999999999999</v>
      </c>
      <c r="M35" s="866">
        <v>9.9992052399999984</v>
      </c>
      <c r="N35" s="323">
        <v>9.077</v>
      </c>
      <c r="O35" s="314"/>
      <c r="P35" s="343">
        <f t="shared" si="13"/>
        <v>-9.2227853900916479E-2</v>
      </c>
      <c r="Q35" s="39"/>
      <c r="R35" s="730"/>
      <c r="S35" s="817"/>
      <c r="T35" s="75"/>
    </row>
    <row r="36" spans="2:27" s="9" customFormat="1" ht="19.5" customHeight="1" x14ac:dyDescent="0.35">
      <c r="B36" s="324" t="s">
        <v>157</v>
      </c>
      <c r="C36" s="313">
        <v>69.616</v>
      </c>
      <c r="D36" s="313">
        <v>66.422728060000011</v>
      </c>
      <c r="E36" s="313">
        <v>64.58</v>
      </c>
      <c r="F36" s="313">
        <v>55.177</v>
      </c>
      <c r="G36" s="313">
        <v>52.134</v>
      </c>
      <c r="H36" s="313">
        <v>49.935000000000002</v>
      </c>
      <c r="I36" s="322">
        <v>48.396999999999998</v>
      </c>
      <c r="J36" s="313">
        <v>52.414999999999999</v>
      </c>
      <c r="K36" s="313">
        <v>50.595999999999997</v>
      </c>
      <c r="L36" s="322">
        <v>49.274999999999999</v>
      </c>
      <c r="M36" s="866">
        <v>49.374451899999997</v>
      </c>
      <c r="N36" s="323">
        <v>62.463000000000001</v>
      </c>
      <c r="O36" s="314"/>
      <c r="P36" s="343">
        <f t="shared" si="13"/>
        <v>0.26508746115316373</v>
      </c>
      <c r="Q36" s="39"/>
      <c r="R36" s="730"/>
      <c r="S36" s="817"/>
    </row>
    <row r="37" spans="2:27" s="9" customFormat="1" ht="19.5" customHeight="1" x14ac:dyDescent="0.35">
      <c r="B37" s="324" t="s">
        <v>158</v>
      </c>
      <c r="C37" s="313">
        <v>1249.2050000000002</v>
      </c>
      <c r="D37" s="313">
        <v>1412.086</v>
      </c>
      <c r="E37" s="313">
        <v>1453.903</v>
      </c>
      <c r="F37" s="313">
        <v>1245.7211683600001</v>
      </c>
      <c r="G37" s="313">
        <v>1354.3989999999999</v>
      </c>
      <c r="H37" s="313">
        <v>1585.8819999999998</v>
      </c>
      <c r="I37" s="322">
        <v>1656.9110000000001</v>
      </c>
      <c r="J37" s="313">
        <v>1729.683</v>
      </c>
      <c r="K37" s="313">
        <v>1615.1950000000002</v>
      </c>
      <c r="L37" s="322">
        <v>1773.2529999999999</v>
      </c>
      <c r="M37" s="866">
        <v>1937.4632054999997</v>
      </c>
      <c r="N37" s="323">
        <v>1695.8110000000001</v>
      </c>
      <c r="O37" s="314"/>
      <c r="P37" s="343">
        <f t="shared" si="13"/>
        <v>-0.12472608760466064</v>
      </c>
      <c r="Q37" s="39"/>
      <c r="R37" s="730"/>
      <c r="S37" s="817"/>
      <c r="T37" s="41"/>
    </row>
    <row r="38" spans="2:27" s="9" customFormat="1" ht="19.5" customHeight="1" x14ac:dyDescent="0.35">
      <c r="B38" s="324" t="s">
        <v>500</v>
      </c>
      <c r="C38" s="313">
        <v>28.036999999999999</v>
      </c>
      <c r="D38" s="313">
        <v>28.224</v>
      </c>
      <c r="E38" s="313">
        <v>0</v>
      </c>
      <c r="F38" s="313">
        <v>0</v>
      </c>
      <c r="G38" s="313">
        <v>0</v>
      </c>
      <c r="H38" s="313">
        <v>0</v>
      </c>
      <c r="I38" s="322">
        <v>0</v>
      </c>
      <c r="J38" s="313">
        <v>0</v>
      </c>
      <c r="K38" s="313">
        <v>0</v>
      </c>
      <c r="L38" s="322">
        <v>0</v>
      </c>
      <c r="M38" s="866">
        <v>0</v>
      </c>
      <c r="N38" s="323">
        <v>0</v>
      </c>
      <c r="O38" s="314"/>
      <c r="P38" s="343" t="s">
        <v>184</v>
      </c>
      <c r="Q38" s="39"/>
      <c r="R38" s="730"/>
      <c r="S38" s="817"/>
    </row>
    <row r="39" spans="2:27" s="9" customFormat="1" ht="29.25" customHeight="1" x14ac:dyDescent="0.2">
      <c r="B39" s="326" t="s">
        <v>252</v>
      </c>
      <c r="C39" s="315">
        <v>73307.012000000002</v>
      </c>
      <c r="D39" s="315">
        <v>75659.533998480008</v>
      </c>
      <c r="E39" s="315">
        <v>76302.046000000017</v>
      </c>
      <c r="F39" s="315">
        <v>68064.361010101115</v>
      </c>
      <c r="G39" s="315">
        <v>67914.671000000017</v>
      </c>
      <c r="H39" s="315">
        <v>70089.973999999973</v>
      </c>
      <c r="I39" s="315">
        <v>72113.559999999983</v>
      </c>
      <c r="J39" s="315">
        <v>69096.950999999986</v>
      </c>
      <c r="K39" s="315">
        <v>69659.882000000012</v>
      </c>
      <c r="L39" s="315">
        <v>68821.399999999994</v>
      </c>
      <c r="M39" s="336">
        <v>70640.173167180008</v>
      </c>
      <c r="N39" s="327">
        <v>71771.311999999991</v>
      </c>
      <c r="O39" s="314"/>
      <c r="P39" s="344">
        <f>N39/M39-1</f>
        <v>1.6012684880358119E-2</v>
      </c>
      <c r="Q39" s="39"/>
      <c r="R39" s="730"/>
      <c r="S39" s="817"/>
      <c r="U39" s="53"/>
    </row>
    <row r="40" spans="2:27" s="9" customFormat="1" ht="19.5" customHeight="1" x14ac:dyDescent="0.35">
      <c r="B40" s="324" t="s">
        <v>159</v>
      </c>
      <c r="C40" s="313">
        <v>5569.0329999999976</v>
      </c>
      <c r="D40" s="313">
        <v>5595.5579999999991</v>
      </c>
      <c r="E40" s="313">
        <v>5725.6030000000001</v>
      </c>
      <c r="F40" s="313">
        <v>5952.7990000000009</v>
      </c>
      <c r="G40" s="313">
        <v>6138.3770000000013</v>
      </c>
      <c r="H40" s="313">
        <v>6250.2910000000002</v>
      </c>
      <c r="I40" s="322">
        <v>6503.2379999999994</v>
      </c>
      <c r="J40" s="313">
        <v>6697.9219999999996</v>
      </c>
      <c r="K40" s="313">
        <v>6935.3059999999996</v>
      </c>
      <c r="L40" s="322">
        <v>7148.027</v>
      </c>
      <c r="M40" s="866">
        <v>7477.2011014899999</v>
      </c>
      <c r="N40" s="323">
        <v>7616.7569999999996</v>
      </c>
      <c r="O40" s="314"/>
      <c r="P40" s="343">
        <f>N40/M40-1</f>
        <v>1.8664189529714603E-2</v>
      </c>
      <c r="R40" s="730"/>
      <c r="S40" s="817"/>
    </row>
    <row r="41" spans="2:27" s="9" customFormat="1" ht="19.5" customHeight="1" x14ac:dyDescent="0.35">
      <c r="B41" s="324" t="s">
        <v>160</v>
      </c>
      <c r="C41" s="313">
        <v>600</v>
      </c>
      <c r="D41" s="313">
        <v>600</v>
      </c>
      <c r="E41" s="313">
        <v>600</v>
      </c>
      <c r="F41" s="313">
        <v>600</v>
      </c>
      <c r="G41" s="313">
        <v>600</v>
      </c>
      <c r="H41" s="313">
        <v>600</v>
      </c>
      <c r="I41" s="322">
        <v>600</v>
      </c>
      <c r="J41" s="313">
        <v>600</v>
      </c>
      <c r="K41" s="313">
        <v>600</v>
      </c>
      <c r="L41" s="322">
        <v>600</v>
      </c>
      <c r="M41" s="866">
        <v>600</v>
      </c>
      <c r="N41" s="323">
        <v>600</v>
      </c>
      <c r="O41" s="314"/>
      <c r="P41" s="343">
        <f t="shared" ref="P41:P42" si="14">N41/M41-1</f>
        <v>0</v>
      </c>
      <c r="R41" s="730"/>
      <c r="S41" s="817"/>
    </row>
    <row r="42" spans="2:27" s="9" customFormat="1" ht="19.5" customHeight="1" x14ac:dyDescent="0.35">
      <c r="B42" s="324" t="s">
        <v>253</v>
      </c>
      <c r="C42" s="313">
        <v>19.986999999999998</v>
      </c>
      <c r="D42" s="313">
        <v>17.265999999999998</v>
      </c>
      <c r="E42" s="313">
        <v>28.422000000000001</v>
      </c>
      <c r="F42" s="313">
        <v>27.856999999999999</v>
      </c>
      <c r="G42" s="313">
        <v>26.838000000000001</v>
      </c>
      <c r="H42" s="313">
        <v>42.353000000000002</v>
      </c>
      <c r="I42" s="322">
        <v>42.085999999999999</v>
      </c>
      <c r="J42" s="313">
        <v>55.539000000000001</v>
      </c>
      <c r="K42" s="313">
        <v>55.247</v>
      </c>
      <c r="L42" s="322">
        <v>56.423000000000002</v>
      </c>
      <c r="M42" s="866">
        <v>73.058672340000001</v>
      </c>
      <c r="N42" s="323">
        <v>56.034999999999997</v>
      </c>
      <c r="O42" s="314"/>
      <c r="P42" s="343">
        <f t="shared" si="14"/>
        <v>-0.23301371068961318</v>
      </c>
      <c r="R42" s="730"/>
      <c r="S42" s="817"/>
    </row>
    <row r="43" spans="2:27" s="9" customFormat="1" ht="19.5" customHeight="1" x14ac:dyDescent="0.2">
      <c r="B43" s="326" t="s">
        <v>254</v>
      </c>
      <c r="C43" s="319">
        <v>6189.0199999999977</v>
      </c>
      <c r="D43" s="319">
        <v>6212.8239999999987</v>
      </c>
      <c r="E43" s="319">
        <v>6354.0249999999996</v>
      </c>
      <c r="F43" s="319">
        <v>6580.6560000000009</v>
      </c>
      <c r="G43" s="319">
        <v>6765.2150000000011</v>
      </c>
      <c r="H43" s="319">
        <v>6892.6440000000002</v>
      </c>
      <c r="I43" s="319">
        <v>7145.3239999999996</v>
      </c>
      <c r="J43" s="319">
        <v>7353.4609999999993</v>
      </c>
      <c r="K43" s="319">
        <v>7590.5529999999999</v>
      </c>
      <c r="L43" s="319">
        <v>7804.45</v>
      </c>
      <c r="M43" s="337">
        <v>8150.2597738300001</v>
      </c>
      <c r="N43" s="332">
        <v>8272.7919999999976</v>
      </c>
      <c r="O43" s="314"/>
      <c r="P43" s="344">
        <f>N43/M43-1</f>
        <v>1.5034149778077266E-2</v>
      </c>
      <c r="Q43" s="39"/>
      <c r="R43" s="730"/>
      <c r="S43" s="817"/>
      <c r="U43" s="39"/>
    </row>
    <row r="44" spans="2:27" s="9" customFormat="1" ht="19.5" customHeight="1" x14ac:dyDescent="0.35">
      <c r="B44" s="324" t="s">
        <v>255</v>
      </c>
      <c r="C44" s="316">
        <f t="shared" ref="C44" si="15">C43-C42-C41-C19-C18</f>
        <v>5303.9159999999974</v>
      </c>
      <c r="D44" s="316">
        <f t="shared" ref="D44" si="16">D43-D42-D41-D19-D18</f>
        <v>5312.3939999999993</v>
      </c>
      <c r="E44" s="316">
        <f t="shared" ref="E44" si="17">E43-E42-E41-E19-E18</f>
        <v>5426.1259999999993</v>
      </c>
      <c r="F44" s="316">
        <f t="shared" ref="F44" si="18">F43-F42-F41-F19-F18</f>
        <v>5640.7830000000013</v>
      </c>
      <c r="G44" s="316">
        <f t="shared" ref="G44" si="19">G43-G42-G41-G19-G18</f>
        <v>5825.1000000000013</v>
      </c>
      <c r="H44" s="316">
        <f t="shared" ref="H44" si="20">H43-H42-H41-H19-H18</f>
        <v>5920.1890000000003</v>
      </c>
      <c r="I44" s="329">
        <f t="shared" ref="I44" si="21">I43-I42-I41-I19-I18</f>
        <v>6170.9859999999999</v>
      </c>
      <c r="J44" s="316">
        <f t="shared" ref="J44" si="22">J43-J42-J41-J19-J18</f>
        <v>6350.7679999999991</v>
      </c>
      <c r="K44" s="316">
        <f t="shared" ref="K44" si="23">K43-K42-K41-K19-K18</f>
        <v>6589.1209999999992</v>
      </c>
      <c r="L44" s="329">
        <f t="shared" ref="L44" si="24">L43-L42-L41-L19-L18</f>
        <v>6782.14</v>
      </c>
      <c r="M44" s="867">
        <f t="shared" ref="M44" si="25">M43-M42-M41-M19-M18</f>
        <v>7092.0439822899998</v>
      </c>
      <c r="N44" s="330">
        <v>7200.2519999999977</v>
      </c>
      <c r="O44" s="314"/>
      <c r="P44" s="343">
        <f>N44/M44-1</f>
        <v>1.5257663091234441E-2</v>
      </c>
      <c r="Q44" s="39"/>
      <c r="R44" s="730"/>
      <c r="S44" s="817"/>
    </row>
    <row r="45" spans="2:27" s="9" customFormat="1" ht="29.25" customHeight="1" x14ac:dyDescent="0.2">
      <c r="B45" s="333" t="s">
        <v>256</v>
      </c>
      <c r="C45" s="334">
        <v>79496.032000000007</v>
      </c>
      <c r="D45" s="334">
        <v>81872.357998480002</v>
      </c>
      <c r="E45" s="334">
        <v>82656.071000000011</v>
      </c>
      <c r="F45" s="334">
        <v>74645.017010101117</v>
      </c>
      <c r="G45" s="334">
        <v>74679.886000000013</v>
      </c>
      <c r="H45" s="334">
        <v>76982.617999999973</v>
      </c>
      <c r="I45" s="334">
        <v>79258.883999999976</v>
      </c>
      <c r="J45" s="334">
        <v>76450.411999999982</v>
      </c>
      <c r="K45" s="334">
        <v>77250.435000000012</v>
      </c>
      <c r="L45" s="334">
        <v>76625.849999999991</v>
      </c>
      <c r="M45" s="338">
        <v>78790.432941010004</v>
      </c>
      <c r="N45" s="335">
        <v>80044.103999999992</v>
      </c>
      <c r="O45" s="314"/>
      <c r="P45" s="345">
        <f>N45/M45-1</f>
        <v>1.5911463006283988E-2</v>
      </c>
      <c r="Q45" s="39"/>
      <c r="R45" s="899"/>
    </row>
    <row r="46" spans="2:27" ht="12.75" customHeight="1" x14ac:dyDescent="0.2">
      <c r="B46" s="318"/>
      <c r="C46" s="318"/>
      <c r="D46" s="318"/>
      <c r="E46" s="318"/>
      <c r="F46" s="318"/>
      <c r="G46" s="318"/>
      <c r="H46" s="318"/>
      <c r="I46" s="318"/>
      <c r="J46" s="318"/>
      <c r="K46" s="318"/>
      <c r="L46" s="318"/>
      <c r="M46" s="318"/>
      <c r="N46" s="318"/>
      <c r="O46" s="312"/>
      <c r="P46" s="318"/>
      <c r="S46" s="9"/>
    </row>
    <row r="47" spans="2:27" ht="18" customHeight="1" x14ac:dyDescent="0.2">
      <c r="B47" s="938" t="s">
        <v>339</v>
      </c>
      <c r="C47" s="938"/>
      <c r="D47" s="938"/>
      <c r="E47" s="938"/>
      <c r="F47" s="938"/>
      <c r="G47" s="938"/>
      <c r="H47" s="938"/>
      <c r="I47" s="938"/>
      <c r="J47" s="938"/>
      <c r="K47" s="938"/>
      <c r="L47" s="938"/>
      <c r="M47" s="938"/>
      <c r="N47" s="938"/>
      <c r="O47" s="938"/>
      <c r="P47" s="938"/>
    </row>
    <row r="48" spans="2:27" ht="18" customHeight="1" x14ac:dyDescent="0.2">
      <c r="B48" s="938" t="s">
        <v>340</v>
      </c>
      <c r="C48" s="938"/>
      <c r="D48" s="938"/>
      <c r="E48" s="938"/>
      <c r="F48" s="938"/>
      <c r="G48" s="938"/>
      <c r="H48" s="938"/>
      <c r="I48" s="938"/>
      <c r="J48" s="938"/>
      <c r="K48" s="938"/>
      <c r="L48" s="938"/>
      <c r="M48" s="938"/>
      <c r="N48" s="938"/>
      <c r="O48" s="938"/>
      <c r="P48" s="938"/>
    </row>
    <row r="49" spans="2:16" ht="18" customHeight="1" x14ac:dyDescent="0.2">
      <c r="B49" s="938" t="s">
        <v>341</v>
      </c>
      <c r="C49" s="938"/>
      <c r="D49" s="938"/>
      <c r="E49" s="938"/>
      <c r="F49" s="938"/>
      <c r="G49" s="938"/>
      <c r="H49" s="938"/>
      <c r="I49" s="938"/>
      <c r="J49" s="938"/>
      <c r="K49" s="938"/>
      <c r="L49" s="938"/>
      <c r="M49" s="938"/>
      <c r="N49" s="938"/>
      <c r="O49" s="938"/>
      <c r="P49" s="938"/>
    </row>
    <row r="50" spans="2:16" ht="18" customHeight="1" x14ac:dyDescent="0.2">
      <c r="B50" s="938" t="s">
        <v>342</v>
      </c>
      <c r="C50" s="938"/>
      <c r="D50" s="938"/>
      <c r="E50" s="938"/>
      <c r="F50" s="938"/>
      <c r="G50" s="938"/>
      <c r="H50" s="938"/>
      <c r="I50" s="938"/>
      <c r="J50" s="938"/>
      <c r="K50" s="938"/>
      <c r="L50" s="938"/>
      <c r="M50" s="938"/>
      <c r="N50" s="938"/>
      <c r="O50" s="938"/>
      <c r="P50" s="938"/>
    </row>
    <row r="51" spans="2:16" ht="18" customHeight="1" x14ac:dyDescent="0.2">
      <c r="B51" s="938" t="s">
        <v>343</v>
      </c>
      <c r="C51" s="938"/>
      <c r="D51" s="938"/>
      <c r="E51" s="938"/>
      <c r="F51" s="938"/>
      <c r="G51" s="938"/>
      <c r="H51" s="938"/>
      <c r="I51" s="938"/>
      <c r="J51" s="938"/>
      <c r="K51" s="938"/>
      <c r="L51" s="938"/>
      <c r="M51" s="938"/>
      <c r="N51" s="938"/>
      <c r="O51" s="938"/>
      <c r="P51" s="938"/>
    </row>
    <row r="52" spans="2:16" ht="18" customHeight="1" x14ac:dyDescent="0.2">
      <c r="B52" s="938" t="s">
        <v>344</v>
      </c>
      <c r="C52" s="938"/>
      <c r="D52" s="938"/>
      <c r="E52" s="938"/>
      <c r="F52" s="938"/>
      <c r="G52" s="938"/>
      <c r="H52" s="938"/>
      <c r="I52" s="938"/>
      <c r="J52" s="938"/>
      <c r="K52" s="938"/>
      <c r="L52" s="938"/>
      <c r="M52" s="938"/>
      <c r="N52" s="938"/>
      <c r="O52" s="938"/>
      <c r="P52" s="938"/>
    </row>
    <row r="53" spans="2:16" x14ac:dyDescent="0.2">
      <c r="B53" s="938" t="s">
        <v>345</v>
      </c>
      <c r="C53" s="938"/>
      <c r="D53" s="938"/>
      <c r="E53" s="938"/>
      <c r="F53" s="938"/>
      <c r="G53" s="938"/>
      <c r="H53" s="938"/>
      <c r="I53" s="938"/>
      <c r="J53" s="938"/>
      <c r="K53" s="938"/>
      <c r="L53" s="938"/>
      <c r="M53" s="938"/>
      <c r="N53" s="938"/>
      <c r="O53" s="938"/>
      <c r="P53" s="938"/>
    </row>
    <row r="54" spans="2:16" x14ac:dyDescent="0.2">
      <c r="B54" s="938" t="s">
        <v>346</v>
      </c>
      <c r="C54" s="938"/>
      <c r="D54" s="938"/>
      <c r="E54" s="938"/>
      <c r="F54" s="938"/>
      <c r="G54" s="938"/>
      <c r="H54" s="938"/>
      <c r="I54" s="938"/>
      <c r="J54" s="938"/>
      <c r="K54" s="938"/>
      <c r="L54" s="938"/>
      <c r="M54" s="938"/>
      <c r="N54" s="938"/>
      <c r="O54" s="938"/>
      <c r="P54" s="938"/>
    </row>
    <row r="55" spans="2:16" x14ac:dyDescent="0.2">
      <c r="B55" s="938" t="s">
        <v>425</v>
      </c>
      <c r="C55" s="938"/>
      <c r="D55" s="938"/>
      <c r="E55" s="938"/>
      <c r="F55" s="938"/>
      <c r="G55" s="938"/>
      <c r="H55" s="938"/>
      <c r="I55" s="938"/>
      <c r="J55" s="938"/>
      <c r="K55" s="938"/>
      <c r="L55" s="938"/>
      <c r="M55" s="938"/>
      <c r="N55" s="938"/>
      <c r="O55" s="938"/>
      <c r="P55" s="938"/>
    </row>
    <row r="56" spans="2:16" x14ac:dyDescent="0.2">
      <c r="B56" s="938" t="s">
        <v>427</v>
      </c>
      <c r="C56" s="938"/>
      <c r="D56" s="938"/>
      <c r="E56" s="938"/>
      <c r="F56" s="938"/>
      <c r="G56" s="938"/>
      <c r="H56" s="938"/>
      <c r="I56" s="938"/>
      <c r="J56" s="938"/>
      <c r="K56" s="938"/>
      <c r="L56" s="938"/>
      <c r="M56" s="938"/>
      <c r="N56" s="938"/>
      <c r="O56" s="938"/>
      <c r="P56" s="938"/>
    </row>
    <row r="57" spans="2:16" ht="15.75" customHeight="1" x14ac:dyDescent="0.2">
      <c r="B57" s="938" t="s">
        <v>525</v>
      </c>
      <c r="C57" s="938"/>
      <c r="D57" s="938"/>
      <c r="E57" s="938"/>
      <c r="F57" s="938"/>
      <c r="G57" s="938"/>
      <c r="H57" s="938"/>
      <c r="I57" s="938"/>
      <c r="J57" s="938"/>
      <c r="K57" s="938"/>
      <c r="L57" s="938"/>
      <c r="M57" s="938"/>
      <c r="N57" s="938"/>
      <c r="O57" s="938"/>
      <c r="P57" s="938"/>
    </row>
    <row r="58" spans="2:16" x14ac:dyDescent="0.2">
      <c r="B58" s="938" t="s">
        <v>526</v>
      </c>
      <c r="C58" s="938"/>
      <c r="D58" s="938"/>
      <c r="E58" s="938"/>
      <c r="F58" s="938"/>
      <c r="G58" s="938"/>
      <c r="H58" s="938"/>
      <c r="I58" s="938"/>
      <c r="J58" s="938"/>
      <c r="K58" s="938"/>
      <c r="L58" s="938"/>
      <c r="M58" s="938"/>
      <c r="N58" s="938"/>
      <c r="O58" s="938"/>
      <c r="P58" s="938"/>
    </row>
    <row r="59" spans="2:16" x14ac:dyDescent="0.2">
      <c r="B59" s="938" t="s">
        <v>597</v>
      </c>
      <c r="C59" s="938"/>
      <c r="D59" s="938"/>
      <c r="E59" s="938"/>
      <c r="F59" s="938"/>
      <c r="G59" s="938"/>
      <c r="H59" s="938"/>
      <c r="I59" s="938"/>
      <c r="J59" s="938"/>
      <c r="K59" s="938"/>
      <c r="L59" s="938"/>
      <c r="M59" s="938"/>
      <c r="N59" s="938"/>
      <c r="O59" s="938"/>
      <c r="P59" s="938"/>
    </row>
  </sheetData>
  <mergeCells count="14">
    <mergeCell ref="B59:P59"/>
    <mergeCell ref="B58:P58"/>
    <mergeCell ref="B50:P50"/>
    <mergeCell ref="B48:P48"/>
    <mergeCell ref="B49:P49"/>
    <mergeCell ref="B5:P5"/>
    <mergeCell ref="B47:P47"/>
    <mergeCell ref="B54:P54"/>
    <mergeCell ref="B57:P57"/>
    <mergeCell ref="B53:P53"/>
    <mergeCell ref="B52:P52"/>
    <mergeCell ref="B51:P51"/>
    <mergeCell ref="B55:P55"/>
    <mergeCell ref="B56:P56"/>
  </mergeCells>
  <hyperlinks>
    <hyperlink ref="P2" location="'Cover '!A1" display="Back to Cover" xr:uid="{00000000-0004-0000-0100-000000000000}"/>
  </hyperlinks>
  <printOptions horizontalCentered="1" verticalCentered="1"/>
  <pageMargins left="0" right="0" top="0" bottom="0" header="0" footer="0"/>
  <pageSetup paperSize="8"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R82"/>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Q43" sqref="Q43"/>
    </sheetView>
  </sheetViews>
  <sheetFormatPr defaultColWidth="9.140625" defaultRowHeight="12.75" x14ac:dyDescent="0.2"/>
  <cols>
    <col min="1" max="1" width="2.42578125" style="10" customWidth="1"/>
    <col min="2" max="2" width="82.85546875" style="10" customWidth="1"/>
    <col min="3" max="14" width="15" style="10" customWidth="1"/>
    <col min="15" max="15" width="2.42578125" style="10" customWidth="1"/>
    <col min="16" max="16" width="11.28515625" style="10" bestFit="1" customWidth="1"/>
    <col min="17" max="17" width="15" style="10" customWidth="1"/>
    <col min="18" max="16384" width="9.140625" style="10"/>
  </cols>
  <sheetData>
    <row r="1" spans="1:17" s="6" customFormat="1" ht="15.75" customHeight="1" x14ac:dyDescent="0.2">
      <c r="B1" s="10"/>
      <c r="C1" s="10"/>
      <c r="D1" s="10"/>
      <c r="E1" s="10"/>
      <c r="F1" s="10"/>
      <c r="G1" s="10"/>
      <c r="H1" s="10"/>
      <c r="I1" s="10"/>
      <c r="J1" s="10"/>
      <c r="K1" s="121"/>
      <c r="L1" s="121"/>
      <c r="M1" s="121"/>
      <c r="N1" s="121"/>
    </row>
    <row r="2" spans="1:17" s="6" customFormat="1" ht="15.75" customHeight="1" x14ac:dyDescent="0.2">
      <c r="B2" s="10"/>
      <c r="K2" s="120"/>
      <c r="L2" s="120"/>
      <c r="M2" s="120"/>
      <c r="N2" s="122" t="s">
        <v>20</v>
      </c>
    </row>
    <row r="3" spans="1:17" s="6" customFormat="1" ht="15.75" customHeight="1" x14ac:dyDescent="0.2">
      <c r="B3" s="10"/>
      <c r="C3" s="8"/>
      <c r="D3" s="8"/>
      <c r="E3" s="8"/>
      <c r="F3" s="8"/>
      <c r="G3" s="8"/>
      <c r="H3" s="8"/>
      <c r="I3" s="8"/>
      <c r="J3" s="8"/>
      <c r="K3" s="8"/>
      <c r="L3" s="8"/>
      <c r="M3" s="8"/>
    </row>
    <row r="4" spans="1:17" ht="15.75" customHeight="1" x14ac:dyDescent="0.2"/>
    <row r="5" spans="1:17" s="17" customFormat="1" ht="28.5" x14ac:dyDescent="0.2">
      <c r="A5" s="16"/>
      <c r="B5" s="937" t="s">
        <v>25</v>
      </c>
      <c r="C5" s="937"/>
      <c r="D5" s="937"/>
      <c r="E5" s="937"/>
      <c r="F5" s="937"/>
      <c r="G5" s="937"/>
      <c r="H5" s="937"/>
      <c r="I5" s="937"/>
      <c r="J5" s="937"/>
      <c r="K5" s="937"/>
      <c r="L5" s="937"/>
      <c r="M5" s="937"/>
      <c r="N5" s="937"/>
    </row>
    <row r="6" spans="1:17" s="17" customFormat="1" ht="9" customHeight="1" x14ac:dyDescent="0.2">
      <c r="A6" s="16"/>
      <c r="B6" s="18"/>
      <c r="C6" s="18"/>
      <c r="D6" s="18"/>
      <c r="E6" s="18"/>
      <c r="F6" s="18"/>
      <c r="G6" s="18"/>
      <c r="H6" s="18"/>
      <c r="I6" s="18"/>
      <c r="J6" s="18"/>
      <c r="K6" s="18"/>
      <c r="L6" s="18"/>
      <c r="M6" s="18"/>
      <c r="N6" s="18"/>
    </row>
    <row r="7" spans="1:17" s="6" customFormat="1" ht="9" customHeight="1" x14ac:dyDescent="0.2">
      <c r="B7" s="10"/>
      <c r="C7" s="32"/>
      <c r="D7" s="32"/>
      <c r="E7" s="32"/>
      <c r="F7" s="32"/>
      <c r="G7" s="32"/>
      <c r="H7" s="32"/>
      <c r="I7" s="32"/>
      <c r="J7" s="32"/>
      <c r="K7" s="32"/>
      <c r="L7" s="32"/>
      <c r="M7" s="32"/>
      <c r="N7" s="32"/>
    </row>
    <row r="8" spans="1:17" s="6" customFormat="1" ht="16.5" customHeight="1" x14ac:dyDescent="0.2">
      <c r="B8" s="148" t="s">
        <v>0</v>
      </c>
      <c r="C8" s="347"/>
      <c r="D8" s="347"/>
      <c r="E8" s="347"/>
      <c r="F8" s="347"/>
      <c r="G8" s="347"/>
      <c r="H8" s="347"/>
      <c r="I8" s="347"/>
      <c r="J8" s="347"/>
      <c r="K8" s="347"/>
      <c r="L8" s="347"/>
      <c r="M8" s="347"/>
      <c r="N8" s="347"/>
    </row>
    <row r="9" spans="1:17" s="6" customFormat="1" ht="28.5" customHeight="1" x14ac:dyDescent="0.2">
      <c r="B9" s="357" t="s">
        <v>13</v>
      </c>
      <c r="C9" s="358">
        <v>44651</v>
      </c>
      <c r="D9" s="358">
        <v>44742</v>
      </c>
      <c r="E9" s="358">
        <v>44834</v>
      </c>
      <c r="F9" s="358">
        <v>44926</v>
      </c>
      <c r="G9" s="358">
        <v>45016</v>
      </c>
      <c r="H9" s="358">
        <v>45107</v>
      </c>
      <c r="I9" s="358">
        <v>45199</v>
      </c>
      <c r="J9" s="358">
        <v>45291</v>
      </c>
      <c r="K9" s="358">
        <v>45382</v>
      </c>
      <c r="L9" s="358">
        <v>45473</v>
      </c>
      <c r="M9" s="374">
        <v>45565</v>
      </c>
      <c r="N9" s="359">
        <v>45657</v>
      </c>
    </row>
    <row r="10" spans="1:17" s="9" customFormat="1" ht="20.25" customHeight="1" x14ac:dyDescent="0.2">
      <c r="B10" s="365" t="s">
        <v>257</v>
      </c>
      <c r="C10" s="349">
        <v>21787.930113000002</v>
      </c>
      <c r="D10" s="349">
        <v>21824.11515812956</v>
      </c>
      <c r="E10" s="349">
        <v>22594.43847987329</v>
      </c>
      <c r="F10" s="349">
        <v>22421.128692623519</v>
      </c>
      <c r="G10" s="349">
        <v>22095.247841576391</v>
      </c>
      <c r="H10" s="349">
        <v>22702.939940306929</v>
      </c>
      <c r="I10" s="348">
        <v>23077.566657341275</v>
      </c>
      <c r="J10" s="349">
        <v>23295.776788432413</v>
      </c>
      <c r="K10" s="349">
        <v>23151.710881114286</v>
      </c>
      <c r="L10" s="348">
        <v>24361.204974559594</v>
      </c>
      <c r="M10" s="834">
        <v>25022.711603524756</v>
      </c>
      <c r="N10" s="360">
        <v>26635.22444328167</v>
      </c>
    </row>
    <row r="11" spans="1:17" s="9" customFormat="1" ht="20.25" customHeight="1" x14ac:dyDescent="0.2">
      <c r="B11" s="365" t="s">
        <v>455</v>
      </c>
      <c r="C11" s="156"/>
      <c r="D11" s="156"/>
      <c r="E11" s="156"/>
      <c r="F11" s="156">
        <v>1517.3255670000001</v>
      </c>
      <c r="G11" s="156"/>
      <c r="H11" s="156"/>
      <c r="I11" s="155"/>
      <c r="J11" s="156">
        <v>950.67031599999996</v>
      </c>
      <c r="K11" s="156"/>
      <c r="L11" s="155"/>
      <c r="M11" s="860"/>
      <c r="N11" s="243">
        <v>919.36909000000003</v>
      </c>
      <c r="P11" s="40"/>
    </row>
    <row r="12" spans="1:17" s="9" customFormat="1" ht="20.25" customHeight="1" x14ac:dyDescent="0.2">
      <c r="B12" s="365" t="s">
        <v>258</v>
      </c>
      <c r="C12" s="156">
        <v>6182</v>
      </c>
      <c r="D12" s="156">
        <v>6131.1678308704404</v>
      </c>
      <c r="E12" s="156">
        <v>6108.7819081267126</v>
      </c>
      <c r="F12" s="156">
        <v>6074.4239423764802</v>
      </c>
      <c r="G12" s="156">
        <v>6034.0444514236096</v>
      </c>
      <c r="H12" s="156">
        <v>5951.678018693071</v>
      </c>
      <c r="I12" s="155">
        <v>5900.8357836587293</v>
      </c>
      <c r="J12" s="156">
        <v>5984.423639567588</v>
      </c>
      <c r="K12" s="156">
        <v>5902.6959318857143</v>
      </c>
      <c r="L12" s="155">
        <v>5848.6639154404074</v>
      </c>
      <c r="M12" s="860">
        <v>5787.4663144752458</v>
      </c>
      <c r="N12" s="243">
        <v>5721.6914667183264</v>
      </c>
    </row>
    <row r="13" spans="1:17" s="9" customFormat="1" ht="20.25" customHeight="1" x14ac:dyDescent="0.2">
      <c r="B13" s="364" t="s">
        <v>69</v>
      </c>
      <c r="C13" s="152">
        <v>7114.71612</v>
      </c>
      <c r="D13" s="152">
        <v>6984.7145549999996</v>
      </c>
      <c r="E13" s="152">
        <v>6944.8073199999999</v>
      </c>
      <c r="F13" s="152">
        <v>6879.4438449999998</v>
      </c>
      <c r="G13" s="152">
        <v>6756.4819079999997</v>
      </c>
      <c r="H13" s="152">
        <v>6518.3461340000003</v>
      </c>
      <c r="I13" s="153">
        <v>6475.3956019999996</v>
      </c>
      <c r="J13" s="152">
        <v>6453.7158390000004</v>
      </c>
      <c r="K13" s="152">
        <v>6424.8504620000003</v>
      </c>
      <c r="L13" s="153">
        <v>6419.8970509999999</v>
      </c>
      <c r="M13" s="850">
        <v>6420.6904379999996</v>
      </c>
      <c r="N13" s="241">
        <v>6304.475563</v>
      </c>
      <c r="Q13" s="40"/>
    </row>
    <row r="14" spans="1:17" s="9" customFormat="1" ht="20.25" customHeight="1" x14ac:dyDescent="0.2">
      <c r="B14" s="364" t="s">
        <v>70</v>
      </c>
      <c r="C14" s="152">
        <v>1981.4769420000002</v>
      </c>
      <c r="D14" s="152">
        <v>1983.9500880000001</v>
      </c>
      <c r="E14" s="152">
        <v>1986.4302869999997</v>
      </c>
      <c r="F14" s="152">
        <v>1895.0359719999999</v>
      </c>
      <c r="G14" s="152">
        <v>1875.5284529999999</v>
      </c>
      <c r="H14" s="152">
        <v>1751.836632</v>
      </c>
      <c r="I14" s="153">
        <v>1781.2178739999999</v>
      </c>
      <c r="J14" s="152">
        <v>1661.032565</v>
      </c>
      <c r="K14" s="152">
        <v>1668.636293</v>
      </c>
      <c r="L14" s="153">
        <v>1718.3245320000001</v>
      </c>
      <c r="M14" s="850">
        <v>1754.779745</v>
      </c>
      <c r="N14" s="241">
        <v>1794.6513420000001</v>
      </c>
      <c r="Q14" s="40"/>
    </row>
    <row r="15" spans="1:17" s="9" customFormat="1" ht="20.25" customHeight="1" x14ac:dyDescent="0.2">
      <c r="B15" s="365" t="s">
        <v>71</v>
      </c>
      <c r="C15" s="349">
        <v>9096.1930620000003</v>
      </c>
      <c r="D15" s="349">
        <v>8968.6646430000001</v>
      </c>
      <c r="E15" s="349">
        <v>8931.2376069999991</v>
      </c>
      <c r="F15" s="349">
        <v>8774.4798169999995</v>
      </c>
      <c r="G15" s="349">
        <v>8632.0103610000006</v>
      </c>
      <c r="H15" s="349">
        <v>8270.1827659999999</v>
      </c>
      <c r="I15" s="348">
        <v>8256.6134759999986</v>
      </c>
      <c r="J15" s="349">
        <v>8114.7484039999999</v>
      </c>
      <c r="K15" s="349">
        <v>8093.4867549999999</v>
      </c>
      <c r="L15" s="348">
        <v>8138.2215830000005</v>
      </c>
      <c r="M15" s="834">
        <v>8175.4701829999995</v>
      </c>
      <c r="N15" s="360">
        <v>8099.1269050000001</v>
      </c>
    </row>
    <row r="16" spans="1:17" s="9" customFormat="1" ht="20.25" customHeight="1" x14ac:dyDescent="0.2">
      <c r="B16" s="365" t="s">
        <v>259</v>
      </c>
      <c r="C16" s="349">
        <v>37066.123</v>
      </c>
      <c r="D16" s="349">
        <v>36923.947999999997</v>
      </c>
      <c r="E16" s="349">
        <v>37634.457999999999</v>
      </c>
      <c r="F16" s="349">
        <v>38787.358</v>
      </c>
      <c r="G16" s="349">
        <v>36761.303</v>
      </c>
      <c r="H16" s="349">
        <v>36924.800725000001</v>
      </c>
      <c r="I16" s="348">
        <v>37235.015916999997</v>
      </c>
      <c r="J16" s="349">
        <v>38345.619147999998</v>
      </c>
      <c r="K16" s="349">
        <v>37147.893568</v>
      </c>
      <c r="L16" s="348">
        <v>38348.090473000004</v>
      </c>
      <c r="M16" s="834">
        <v>38985.648100999999</v>
      </c>
      <c r="N16" s="360">
        <v>41375.411904999994</v>
      </c>
      <c r="Q16" s="40"/>
    </row>
    <row r="17" spans="2:17" s="9" customFormat="1" ht="20.25" customHeight="1" x14ac:dyDescent="0.2">
      <c r="B17" s="365"/>
      <c r="C17" s="349"/>
      <c r="D17" s="349"/>
      <c r="E17" s="349"/>
      <c r="F17" s="349"/>
      <c r="G17" s="349"/>
      <c r="H17" s="349"/>
      <c r="I17" s="348"/>
      <c r="J17" s="349"/>
      <c r="K17" s="349"/>
      <c r="L17" s="348"/>
      <c r="M17" s="834"/>
      <c r="N17" s="360"/>
    </row>
    <row r="18" spans="2:17" s="9" customFormat="1" ht="20.25" customHeight="1" x14ac:dyDescent="0.2">
      <c r="B18" s="366" t="s">
        <v>23</v>
      </c>
      <c r="C18" s="349"/>
      <c r="D18" s="349"/>
      <c r="E18" s="349"/>
      <c r="F18" s="349"/>
      <c r="G18" s="349"/>
      <c r="H18" s="349"/>
      <c r="I18" s="348"/>
      <c r="J18" s="349"/>
      <c r="K18" s="349"/>
      <c r="L18" s="348"/>
      <c r="M18" s="834"/>
      <c r="N18" s="879"/>
    </row>
    <row r="19" spans="2:17" s="9" customFormat="1" ht="20.25" customHeight="1" x14ac:dyDescent="0.2">
      <c r="B19" s="365" t="s">
        <v>257</v>
      </c>
      <c r="C19" s="170">
        <f t="shared" ref="C19:D20" si="0">+C10/C$16</f>
        <v>0.58781249155731774</v>
      </c>
      <c r="D19" s="170">
        <f t="shared" si="0"/>
        <v>0.59105584154028068</v>
      </c>
      <c r="E19" s="170">
        <f t="shared" ref="E19:F19" si="1">+E10/E$16</f>
        <v>0.60036572015659928</v>
      </c>
      <c r="F19" s="170">
        <f t="shared" si="1"/>
        <v>0.57805248536452314</v>
      </c>
      <c r="G19" s="170">
        <f t="shared" ref="G19:G25" si="2">+G10/G$16</f>
        <v>0.60104637318150533</v>
      </c>
      <c r="H19" s="170">
        <f t="shared" ref="H19:H21" si="3">+H10/H$16</f>
        <v>0.61484258532330727</v>
      </c>
      <c r="I19" s="164">
        <f t="shared" ref="I19" si="4">+I10/I$16</f>
        <v>0.61978130233066431</v>
      </c>
      <c r="J19" s="170">
        <f t="shared" ref="J19" si="5">+J10/J$16</f>
        <v>0.60752120596929926</v>
      </c>
      <c r="K19" s="170">
        <f t="shared" ref="K19" si="6">+K10/K$16</f>
        <v>0.62323078531315901</v>
      </c>
      <c r="L19" s="164">
        <f>+L10/L$16</f>
        <v>0.63526513769210358</v>
      </c>
      <c r="M19" s="772">
        <f>+M10/M$16</f>
        <v>0.64184418683251065</v>
      </c>
      <c r="N19" s="880">
        <f>+N10/N$16</f>
        <v>0.64374523942957884</v>
      </c>
    </row>
    <row r="20" spans="2:17" s="9" customFormat="1" ht="20.25" customHeight="1" x14ac:dyDescent="0.2">
      <c r="B20" s="365" t="s">
        <v>455</v>
      </c>
      <c r="C20" s="350">
        <f t="shared" si="0"/>
        <v>0</v>
      </c>
      <c r="D20" s="350">
        <f t="shared" si="0"/>
        <v>0</v>
      </c>
      <c r="E20" s="350">
        <f t="shared" ref="E20:F20" si="7">+E11/E$16</f>
        <v>0</v>
      </c>
      <c r="F20" s="350">
        <f t="shared" si="7"/>
        <v>3.9119075008924302E-2</v>
      </c>
      <c r="G20" s="350">
        <f t="shared" si="2"/>
        <v>0</v>
      </c>
      <c r="H20" s="350">
        <f t="shared" si="3"/>
        <v>0</v>
      </c>
      <c r="I20" s="373">
        <f t="shared" ref="I20" si="8">+I11/I$16</f>
        <v>0</v>
      </c>
      <c r="J20" s="350">
        <f t="shared" ref="J20" si="9">+J11/J$16</f>
        <v>2.4792149328213008E-2</v>
      </c>
      <c r="K20" s="350">
        <f t="shared" ref="K20" si="10">+K11/K$16</f>
        <v>0</v>
      </c>
      <c r="L20" s="373">
        <f t="shared" ref="L20" si="11">+L11/L$16</f>
        <v>0</v>
      </c>
      <c r="M20" s="861">
        <f t="shared" ref="M20" si="12">+M11/M$16</f>
        <v>0</v>
      </c>
      <c r="N20" s="881">
        <f>+N11/N$16</f>
        <v>2.2220179755815295E-2</v>
      </c>
    </row>
    <row r="21" spans="2:17" s="9" customFormat="1" ht="20.25" customHeight="1" x14ac:dyDescent="0.2">
      <c r="B21" s="365" t="s">
        <v>258</v>
      </c>
      <c r="C21" s="350">
        <f t="shared" ref="C21:D25" si="13">+C12/C$16</f>
        <v>0.16678302179054444</v>
      </c>
      <c r="D21" s="350">
        <f t="shared" si="13"/>
        <v>0.16604854472415684</v>
      </c>
      <c r="E21" s="350">
        <f t="shared" ref="E21:F21" si="14">+E12/E$16</f>
        <v>0.16231884907514046</v>
      </c>
      <c r="F21" s="350">
        <f t="shared" si="14"/>
        <v>0.15660834497612547</v>
      </c>
      <c r="G21" s="350">
        <f t="shared" si="2"/>
        <v>0.16414120172572799</v>
      </c>
      <c r="H21" s="350">
        <f t="shared" si="3"/>
        <v>0.16118375459947917</v>
      </c>
      <c r="I21" s="373">
        <f t="shared" ref="I21" si="15">+I12/I$16</f>
        <v>0.15847544678944658</v>
      </c>
      <c r="J21" s="350">
        <f t="shared" ref="J21" si="16">+J12/J$16</f>
        <v>0.15606538041464169</v>
      </c>
      <c r="K21" s="350">
        <f t="shared" ref="K21" si="17">+K12/K$16</f>
        <v>0.15889719079443107</v>
      </c>
      <c r="L21" s="373">
        <f t="shared" ref="L21" si="18">+L12/L$16</f>
        <v>0.1525151276973834</v>
      </c>
      <c r="M21" s="861">
        <f t="shared" ref="M21" si="19">+M12/M$16</f>
        <v>0.14845120182385257</v>
      </c>
      <c r="N21" s="881">
        <f>+N12/N$16</f>
        <v>0.13828723880394508</v>
      </c>
    </row>
    <row r="22" spans="2:17" s="9" customFormat="1" ht="20.25" customHeight="1" x14ac:dyDescent="0.2">
      <c r="B22" s="364" t="s">
        <v>69</v>
      </c>
      <c r="C22" s="351">
        <f t="shared" si="13"/>
        <v>0.19194659554763793</v>
      </c>
      <c r="D22" s="351">
        <f t="shared" si="13"/>
        <v>0.18916488981622442</v>
      </c>
      <c r="E22" s="351">
        <f t="shared" ref="E22:F22" si="20">+E13/E$16</f>
        <v>0.18453320943269597</v>
      </c>
      <c r="F22" s="351">
        <f t="shared" si="20"/>
        <v>0.17736304300488834</v>
      </c>
      <c r="G22" s="351">
        <f t="shared" si="2"/>
        <v>0.18379331951318481</v>
      </c>
      <c r="H22" s="351">
        <f t="shared" ref="H22" si="21">+H13/H$16</f>
        <v>0.17653029958227351</v>
      </c>
      <c r="I22" s="367">
        <f t="shared" ref="I22" si="22">+I13/I$16</f>
        <v>0.17390607852657308</v>
      </c>
      <c r="J22" s="351">
        <f t="shared" ref="J22" si="23">+J13/J$16</f>
        <v>0.16830386318945664</v>
      </c>
      <c r="K22" s="351">
        <f t="shared" ref="K22" si="24">+K13/K$16</f>
        <v>0.17295329142254531</v>
      </c>
      <c r="L22" s="367">
        <f t="shared" ref="L22" si="25">+L13/L$16</f>
        <v>0.16741112717255374</v>
      </c>
      <c r="M22" s="862">
        <f t="shared" ref="M22:N22" si="26">+M13/M$16</f>
        <v>0.16469369500709433</v>
      </c>
      <c r="N22" s="882">
        <f t="shared" si="26"/>
        <v>0.15237251480360822</v>
      </c>
    </row>
    <row r="23" spans="2:17" s="9" customFormat="1" ht="20.25" customHeight="1" x14ac:dyDescent="0.2">
      <c r="B23" s="364" t="s">
        <v>70</v>
      </c>
      <c r="C23" s="351">
        <f t="shared" si="13"/>
        <v>5.3457895825792197E-2</v>
      </c>
      <c r="D23" s="351">
        <f t="shared" si="13"/>
        <v>5.373071395290667E-2</v>
      </c>
      <c r="E23" s="351">
        <f t="shared" ref="E23:F23" si="27">+E14/E$16</f>
        <v>5.2782221202707362E-2</v>
      </c>
      <c r="F23" s="351">
        <f t="shared" si="27"/>
        <v>4.8857052135389059E-2</v>
      </c>
      <c r="G23" s="351">
        <f t="shared" si="2"/>
        <v>5.1019096167510707E-2</v>
      </c>
      <c r="H23" s="351">
        <f t="shared" ref="H23" si="28">+H14/H$16</f>
        <v>4.7443360494940086E-2</v>
      </c>
      <c r="I23" s="367">
        <f t="shared" ref="I23" si="29">+I14/I$16</f>
        <v>4.7837172353316172E-2</v>
      </c>
      <c r="J23" s="351">
        <f t="shared" ref="J23" si="30">+J14/J$16</f>
        <v>4.3317401098389482E-2</v>
      </c>
      <c r="K23" s="351">
        <f t="shared" ref="K23" si="31">+K14/K$16</f>
        <v>4.4918732469864713E-2</v>
      </c>
      <c r="L23" s="367">
        <f t="shared" ref="L23" si="32">+L14/L$16</f>
        <v>4.4808607437959197E-2</v>
      </c>
      <c r="M23" s="862">
        <f t="shared" ref="M23:N23" si="33">+M14/M$16</f>
        <v>4.5010916336542556E-2</v>
      </c>
      <c r="N23" s="882">
        <f t="shared" si="33"/>
        <v>4.337482720705256E-2</v>
      </c>
    </row>
    <row r="24" spans="2:17" s="9" customFormat="1" ht="20.25" customHeight="1" x14ac:dyDescent="0.2">
      <c r="B24" s="365" t="s">
        <v>260</v>
      </c>
      <c r="C24" s="350">
        <f t="shared" si="13"/>
        <v>0.24540449137343015</v>
      </c>
      <c r="D24" s="350">
        <f t="shared" si="13"/>
        <v>0.24289560376913111</v>
      </c>
      <c r="E24" s="350">
        <f t="shared" ref="E24:F24" si="34">+E15/E$16</f>
        <v>0.23731543063540331</v>
      </c>
      <c r="F24" s="350">
        <f t="shared" si="34"/>
        <v>0.22622009514027738</v>
      </c>
      <c r="G24" s="350">
        <f t="shared" si="2"/>
        <v>0.23481241568069555</v>
      </c>
      <c r="H24" s="350">
        <f t="shared" ref="H24" si="35">+H15/H$16</f>
        <v>0.22397366007721359</v>
      </c>
      <c r="I24" s="373">
        <f t="shared" ref="I24" si="36">+I15/I$16</f>
        <v>0.22174325087988922</v>
      </c>
      <c r="J24" s="350">
        <f t="shared" ref="J24" si="37">+J15/J$16</f>
        <v>0.21162126428784611</v>
      </c>
      <c r="K24" s="350">
        <f t="shared" ref="K24" si="38">+K15/K$16</f>
        <v>0.21787202389241</v>
      </c>
      <c r="L24" s="373">
        <f t="shared" ref="L24" si="39">+L15/L$16</f>
        <v>0.21221973461051294</v>
      </c>
      <c r="M24" s="861">
        <f>+M15/M$16</f>
        <v>0.20970461134363685</v>
      </c>
      <c r="N24" s="881">
        <f>+N15/N$16</f>
        <v>0.1957473420106608</v>
      </c>
    </row>
    <row r="25" spans="2:17" s="9" customFormat="1" ht="20.25" customHeight="1" x14ac:dyDescent="0.2">
      <c r="B25" s="369" t="s">
        <v>259</v>
      </c>
      <c r="C25" s="370">
        <f t="shared" si="13"/>
        <v>1</v>
      </c>
      <c r="D25" s="370">
        <f t="shared" si="13"/>
        <v>1</v>
      </c>
      <c r="E25" s="370">
        <f t="shared" ref="E25:F25" si="40">+E16/E$16</f>
        <v>1</v>
      </c>
      <c r="F25" s="370">
        <f t="shared" si="40"/>
        <v>1</v>
      </c>
      <c r="G25" s="370">
        <f t="shared" si="2"/>
        <v>1</v>
      </c>
      <c r="H25" s="370">
        <f t="shared" ref="H25" si="41">+H16/H$16</f>
        <v>1</v>
      </c>
      <c r="I25" s="371">
        <f t="shared" ref="I25" si="42">+I16/I$16</f>
        <v>1</v>
      </c>
      <c r="J25" s="370">
        <f t="shared" ref="J25" si="43">+J16/J$16</f>
        <v>1</v>
      </c>
      <c r="K25" s="370">
        <f t="shared" ref="K25" si="44">+K16/K$16</f>
        <v>1</v>
      </c>
      <c r="L25" s="371">
        <f t="shared" ref="L25" si="45">+L16/L$16</f>
        <v>1</v>
      </c>
      <c r="M25" s="863">
        <f>+M16/M$16</f>
        <v>1</v>
      </c>
      <c r="N25" s="883">
        <f>+N16/N$16</f>
        <v>1</v>
      </c>
    </row>
    <row r="26" spans="2:17" s="9" customFormat="1" ht="10.5" customHeight="1" x14ac:dyDescent="0.2">
      <c r="B26" s="352"/>
      <c r="C26" s="353"/>
      <c r="D26" s="353"/>
      <c r="E26" s="353"/>
      <c r="F26" s="353"/>
      <c r="G26" s="353"/>
      <c r="H26" s="353"/>
      <c r="I26" s="354"/>
      <c r="J26" s="354"/>
      <c r="K26" s="354"/>
      <c r="L26" s="354"/>
      <c r="M26" s="354"/>
      <c r="N26" s="354"/>
    </row>
    <row r="27" spans="2:17" s="11" customFormat="1" ht="8.25" customHeight="1" x14ac:dyDescent="0.2">
      <c r="B27" s="318"/>
      <c r="C27" s="318"/>
      <c r="D27" s="318"/>
      <c r="E27" s="318"/>
      <c r="F27" s="318"/>
      <c r="G27" s="318"/>
      <c r="H27" s="318"/>
      <c r="I27" s="318"/>
      <c r="J27" s="318"/>
      <c r="K27" s="318"/>
      <c r="L27" s="318"/>
      <c r="M27" s="318"/>
      <c r="N27" s="318"/>
    </row>
    <row r="28" spans="2:17" s="6" customFormat="1" ht="28.5" customHeight="1" x14ac:dyDescent="0.2">
      <c r="B28" s="357" t="s">
        <v>143</v>
      </c>
      <c r="C28" s="358">
        <v>44651</v>
      </c>
      <c r="D28" s="358">
        <v>44742</v>
      </c>
      <c r="E28" s="358">
        <v>44834</v>
      </c>
      <c r="F28" s="358">
        <v>44926</v>
      </c>
      <c r="G28" s="358">
        <v>45016</v>
      </c>
      <c r="H28" s="358">
        <v>45107</v>
      </c>
      <c r="I28" s="358">
        <v>45199</v>
      </c>
      <c r="J28" s="358">
        <v>45291</v>
      </c>
      <c r="K28" s="358">
        <v>45382</v>
      </c>
      <c r="L28" s="358">
        <v>45473</v>
      </c>
      <c r="M28" s="374">
        <v>45565</v>
      </c>
      <c r="N28" s="359">
        <v>45657</v>
      </c>
    </row>
    <row r="29" spans="2:17" s="11" customFormat="1" ht="20.25" customHeight="1" x14ac:dyDescent="0.2">
      <c r="B29" s="365" t="s">
        <v>432</v>
      </c>
      <c r="C29" s="155">
        <f>SUM(C30:C33)</f>
        <v>9013.4305029999996</v>
      </c>
      <c r="D29" s="155">
        <f t="shared" ref="D29:J29" si="46">SUM(D30:D33)</f>
        <v>9500.6132159999997</v>
      </c>
      <c r="E29" s="155">
        <f t="shared" si="46"/>
        <v>9773.1541770000003</v>
      </c>
      <c r="F29" s="155">
        <f t="shared" si="46"/>
        <v>10843.849361</v>
      </c>
      <c r="G29" s="155">
        <f t="shared" si="46"/>
        <v>10920.926487999999</v>
      </c>
      <c r="H29" s="155">
        <f t="shared" si="46"/>
        <v>10916.133904999999</v>
      </c>
      <c r="I29" s="155">
        <f t="shared" si="46"/>
        <v>10709.794972999998</v>
      </c>
      <c r="J29" s="156">
        <f t="shared" si="46"/>
        <v>11659.12991</v>
      </c>
      <c r="K29" s="156">
        <f>SUM(K30:K33)</f>
        <v>12419.752307999999</v>
      </c>
      <c r="L29" s="155">
        <f>SUM(L30:L33)</f>
        <v>13482.556455</v>
      </c>
      <c r="M29" s="860">
        <f>SUM(M30:M33)</f>
        <v>14171.701354000001</v>
      </c>
      <c r="N29" s="243">
        <f>SUM(N30:N33)</f>
        <v>14967.781161000003</v>
      </c>
      <c r="Q29" s="909"/>
    </row>
    <row r="30" spans="2:17" s="11" customFormat="1" ht="20.25" customHeight="1" x14ac:dyDescent="0.2">
      <c r="B30" s="364" t="s">
        <v>433</v>
      </c>
      <c r="C30" s="153">
        <v>6597.5739780000004</v>
      </c>
      <c r="D30" s="153">
        <v>7037.4243429999997</v>
      </c>
      <c r="E30" s="153">
        <v>7247.0314969999999</v>
      </c>
      <c r="F30" s="153">
        <v>7513.8300980000004</v>
      </c>
      <c r="G30" s="153">
        <v>7472.9160169999996</v>
      </c>
      <c r="H30" s="153">
        <v>7456.6447889999999</v>
      </c>
      <c r="I30" s="153">
        <v>7166.9165309999998</v>
      </c>
      <c r="J30" s="152">
        <v>7708.5475210000004</v>
      </c>
      <c r="K30" s="152">
        <v>8468.586695</v>
      </c>
      <c r="L30" s="153">
        <v>8713.6605920000002</v>
      </c>
      <c r="M30" s="850">
        <v>8999.4559509999999</v>
      </c>
      <c r="N30" s="241">
        <v>9650.6406220000008</v>
      </c>
      <c r="P30" s="729"/>
      <c r="Q30" s="908"/>
    </row>
    <row r="31" spans="2:17" s="11" customFormat="1" ht="20.25" customHeight="1" x14ac:dyDescent="0.2">
      <c r="B31" s="364" t="s">
        <v>501</v>
      </c>
      <c r="C31" s="153">
        <v>0</v>
      </c>
      <c r="D31" s="153">
        <v>0</v>
      </c>
      <c r="E31" s="153">
        <v>2.9735499999999999</v>
      </c>
      <c r="F31" s="153">
        <v>2.9790000000000001</v>
      </c>
      <c r="G31" s="153">
        <v>3.4613149999999999</v>
      </c>
      <c r="H31" s="153">
        <v>3.9754969999999998</v>
      </c>
      <c r="I31" s="153">
        <v>1.965157</v>
      </c>
      <c r="J31" s="152">
        <v>3.9390049999999999</v>
      </c>
      <c r="K31" s="152">
        <v>5.4494109999999996</v>
      </c>
      <c r="L31" s="153">
        <v>6.9140249999999996</v>
      </c>
      <c r="M31" s="850">
        <v>6.9128869999999996</v>
      </c>
      <c r="N31" s="241">
        <v>3.9648880000000002</v>
      </c>
    </row>
    <row r="32" spans="2:17" s="11" customFormat="1" ht="20.25" customHeight="1" x14ac:dyDescent="0.2">
      <c r="B32" s="364" t="s">
        <v>434</v>
      </c>
      <c r="C32" s="153">
        <v>2400.7027849999999</v>
      </c>
      <c r="D32" s="153">
        <v>2447.9009940000001</v>
      </c>
      <c r="E32" s="153">
        <v>2476.968425</v>
      </c>
      <c r="F32" s="153">
        <v>2459.2944320000001</v>
      </c>
      <c r="G32" s="153">
        <v>2469.6538439999999</v>
      </c>
      <c r="H32" s="153">
        <v>2470.0916229999998</v>
      </c>
      <c r="I32" s="153">
        <v>2425.052745</v>
      </c>
      <c r="J32" s="152">
        <v>2498.6935109999999</v>
      </c>
      <c r="K32" s="152">
        <v>2507.5331809999998</v>
      </c>
      <c r="L32" s="153">
        <v>2499.765598</v>
      </c>
      <c r="M32" s="850">
        <v>2878.7278700000002</v>
      </c>
      <c r="N32" s="241">
        <v>3251.172059</v>
      </c>
      <c r="P32" s="729"/>
      <c r="Q32" s="908"/>
    </row>
    <row r="33" spans="2:17" s="11" customFormat="1" ht="20.25" customHeight="1" x14ac:dyDescent="0.2">
      <c r="B33" s="364" t="s">
        <v>435</v>
      </c>
      <c r="C33" s="153">
        <v>15.153740000000001</v>
      </c>
      <c r="D33" s="153">
        <v>15.287879</v>
      </c>
      <c r="E33" s="153">
        <v>46.180705000000003</v>
      </c>
      <c r="F33" s="153">
        <v>867.74583099999995</v>
      </c>
      <c r="G33" s="153">
        <v>974.89531199999999</v>
      </c>
      <c r="H33" s="153">
        <v>985.42199600000004</v>
      </c>
      <c r="I33" s="153">
        <v>1115.8605399999999</v>
      </c>
      <c r="J33" s="152">
        <v>1447.949873</v>
      </c>
      <c r="K33" s="152">
        <v>1438.1830210000001</v>
      </c>
      <c r="L33" s="153">
        <v>2262.2162400000002</v>
      </c>
      <c r="M33" s="850">
        <v>2286.6046459999998</v>
      </c>
      <c r="N33" s="241">
        <v>2062.003592</v>
      </c>
      <c r="P33" s="729"/>
      <c r="Q33" s="908"/>
    </row>
    <row r="34" spans="2:17" s="11" customFormat="1" ht="20.25" customHeight="1" x14ac:dyDescent="0.2">
      <c r="B34" s="365" t="s">
        <v>436</v>
      </c>
      <c r="C34" s="155">
        <f>SUM(C35:C39)</f>
        <v>1723.7714739999999</v>
      </c>
      <c r="D34" s="155">
        <f t="shared" ref="D34:J34" si="47">SUM(D35:D39)</f>
        <v>1811.1097779999998</v>
      </c>
      <c r="E34" s="155">
        <f t="shared" si="47"/>
        <v>1407.5130779999997</v>
      </c>
      <c r="F34" s="155">
        <f>SUM(F35:F39)</f>
        <v>896.90576999999996</v>
      </c>
      <c r="G34" s="155">
        <f t="shared" si="47"/>
        <v>1120.0077610000001</v>
      </c>
      <c r="H34" s="155">
        <f t="shared" si="47"/>
        <v>1275.7065230000001</v>
      </c>
      <c r="I34" s="155">
        <f t="shared" si="47"/>
        <v>1571.234019</v>
      </c>
      <c r="J34" s="156">
        <f t="shared" si="47"/>
        <v>1383.1613770000001</v>
      </c>
      <c r="K34" s="156">
        <f>SUM(K35:K39)</f>
        <v>1154.638927</v>
      </c>
      <c r="L34" s="155">
        <f>SUM(L35:L39)</f>
        <v>750.34698700000001</v>
      </c>
      <c r="M34" s="860">
        <f>SUM(M35:M39)</f>
        <v>650.29877800000008</v>
      </c>
      <c r="N34" s="243">
        <f>SUM(N35:N39)</f>
        <v>632.78667899999994</v>
      </c>
      <c r="Q34" s="908"/>
    </row>
    <row r="35" spans="2:17" s="11" customFormat="1" ht="20.25" customHeight="1" x14ac:dyDescent="0.2">
      <c r="B35" s="364" t="s">
        <v>437</v>
      </c>
      <c r="C35" s="153">
        <v>551.73965599999997</v>
      </c>
      <c r="D35" s="153">
        <v>303.48478599999999</v>
      </c>
      <c r="E35" s="153">
        <v>265.82234799999998</v>
      </c>
      <c r="F35" s="153">
        <v>237.42077399999999</v>
      </c>
      <c r="G35" s="153">
        <v>386.57216099999999</v>
      </c>
      <c r="H35" s="153">
        <v>486.649113</v>
      </c>
      <c r="I35" s="153">
        <v>571.39705200000003</v>
      </c>
      <c r="J35" s="152">
        <v>630.31419100000005</v>
      </c>
      <c r="K35" s="152">
        <v>617.683312</v>
      </c>
      <c r="L35" s="153">
        <v>513.66477599999996</v>
      </c>
      <c r="M35" s="850">
        <v>536.62975200000005</v>
      </c>
      <c r="N35" s="241">
        <v>536.11936100000003</v>
      </c>
    </row>
    <row r="36" spans="2:17" s="11" customFormat="1" ht="20.25" customHeight="1" x14ac:dyDescent="0.2">
      <c r="B36" s="364" t="s">
        <v>502</v>
      </c>
      <c r="C36" s="153">
        <v>479.34704099999999</v>
      </c>
      <c r="D36" s="153">
        <v>812.01759400000003</v>
      </c>
      <c r="E36" s="153">
        <v>469.59636399999999</v>
      </c>
      <c r="F36" s="153">
        <v>557.60055299999999</v>
      </c>
      <c r="G36" s="153">
        <v>627.82879800000001</v>
      </c>
      <c r="H36" s="153">
        <v>732.15990199999999</v>
      </c>
      <c r="I36" s="153">
        <v>945.83629399999995</v>
      </c>
      <c r="J36" s="152">
        <v>704.23255600000005</v>
      </c>
      <c r="K36" s="152">
        <v>482.61389100000002</v>
      </c>
      <c r="L36" s="153">
        <v>151.759398</v>
      </c>
      <c r="M36" s="850">
        <v>0</v>
      </c>
      <c r="N36" s="241">
        <v>34.534500000000001</v>
      </c>
    </row>
    <row r="37" spans="2:17" s="11" customFormat="1" ht="20.25" customHeight="1" x14ac:dyDescent="0.2">
      <c r="B37" s="364" t="s">
        <v>438</v>
      </c>
      <c r="C37" s="153">
        <v>14.928841</v>
      </c>
      <c r="D37" s="153">
        <v>8.3876380000000008</v>
      </c>
      <c r="E37" s="153">
        <v>2.4168859999999999</v>
      </c>
      <c r="F37" s="153">
        <v>0.89431099999999997</v>
      </c>
      <c r="G37" s="153">
        <v>0.87309199999999998</v>
      </c>
      <c r="H37" s="153">
        <v>0.90361400000000003</v>
      </c>
      <c r="I37" s="153">
        <v>0</v>
      </c>
      <c r="J37" s="152">
        <v>0</v>
      </c>
      <c r="K37" s="152">
        <v>0</v>
      </c>
      <c r="L37" s="153">
        <v>29.6172</v>
      </c>
      <c r="M37" s="850">
        <v>62.041116000000002</v>
      </c>
      <c r="N37" s="241">
        <v>17.238447000000001</v>
      </c>
    </row>
    <row r="38" spans="2:17" s="11" customFormat="1" ht="20.25" customHeight="1" x14ac:dyDescent="0.2">
      <c r="B38" s="364" t="s">
        <v>439</v>
      </c>
      <c r="C38" s="153">
        <v>611.96117000000004</v>
      </c>
      <c r="D38" s="153">
        <v>624.50523799999996</v>
      </c>
      <c r="E38" s="153">
        <v>609.60422800000003</v>
      </c>
      <c r="F38" s="153">
        <v>0</v>
      </c>
      <c r="G38" s="153">
        <v>0</v>
      </c>
      <c r="H38" s="153">
        <v>0</v>
      </c>
      <c r="I38" s="153">
        <v>0</v>
      </c>
      <c r="J38" s="152">
        <v>0</v>
      </c>
      <c r="K38" s="152">
        <v>0</v>
      </c>
      <c r="L38" s="153">
        <v>0</v>
      </c>
      <c r="M38" s="850">
        <v>0</v>
      </c>
      <c r="N38" s="241">
        <v>0</v>
      </c>
    </row>
    <row r="39" spans="2:17" s="11" customFormat="1" ht="20.25" customHeight="1" x14ac:dyDescent="0.2">
      <c r="B39" s="364" t="s">
        <v>440</v>
      </c>
      <c r="C39" s="153">
        <v>65.794765999999996</v>
      </c>
      <c r="D39" s="153">
        <v>62.714522000000002</v>
      </c>
      <c r="E39" s="153">
        <v>60.073251999999997</v>
      </c>
      <c r="F39" s="153">
        <v>100.990132</v>
      </c>
      <c r="G39" s="153">
        <v>104.73371</v>
      </c>
      <c r="H39" s="153">
        <v>55.993893999999997</v>
      </c>
      <c r="I39" s="153">
        <v>54.000672999999999</v>
      </c>
      <c r="J39" s="152">
        <v>48.614629999999998</v>
      </c>
      <c r="K39" s="152">
        <v>54.341723999999999</v>
      </c>
      <c r="L39" s="153">
        <v>55.305613000000001</v>
      </c>
      <c r="M39" s="850">
        <v>51.62791</v>
      </c>
      <c r="N39" s="241">
        <v>44.894371</v>
      </c>
    </row>
    <row r="40" spans="2:17" s="11" customFormat="1" ht="20.25" customHeight="1" x14ac:dyDescent="0.2">
      <c r="B40" s="365" t="s">
        <v>441</v>
      </c>
      <c r="C40" s="155">
        <f>SUM(C41:C45)</f>
        <v>1020.6745880000001</v>
      </c>
      <c r="D40" s="155">
        <f t="shared" ref="D40:J40" si="48">SUM(D41:D45)</f>
        <v>956.56634499999996</v>
      </c>
      <c r="E40" s="155">
        <f t="shared" si="48"/>
        <v>922.50361799999996</v>
      </c>
      <c r="F40" s="155">
        <f t="shared" si="48"/>
        <v>730.39193</v>
      </c>
      <c r="G40" s="155">
        <f t="shared" si="48"/>
        <v>1013.4453229999999</v>
      </c>
      <c r="H40" s="155">
        <f t="shared" si="48"/>
        <v>1535.3613799999998</v>
      </c>
      <c r="I40" s="155">
        <f>SUM(I41:I45)</f>
        <v>1287.7845659999998</v>
      </c>
      <c r="J40" s="156">
        <f t="shared" si="48"/>
        <v>843.39662199999998</v>
      </c>
      <c r="K40" s="156">
        <f>SUM(K41:K45)</f>
        <v>1204.622351</v>
      </c>
      <c r="L40" s="155">
        <f>SUM(L41:L45)</f>
        <v>1202.830653</v>
      </c>
      <c r="M40" s="860">
        <f>SUM(M41:M45)</f>
        <v>1224.4110900000001</v>
      </c>
      <c r="N40" s="243">
        <f>SUM(N41:N45)</f>
        <v>1038.9205649999999</v>
      </c>
      <c r="Q40" s="908"/>
    </row>
    <row r="41" spans="2:17" s="11" customFormat="1" ht="20.25" customHeight="1" x14ac:dyDescent="0.2">
      <c r="B41" s="364" t="s">
        <v>442</v>
      </c>
      <c r="C41" s="153">
        <v>216.251656</v>
      </c>
      <c r="D41" s="153">
        <v>198.86884499999999</v>
      </c>
      <c r="E41" s="153">
        <v>194.556399</v>
      </c>
      <c r="F41" s="153">
        <v>87.369052999999994</v>
      </c>
      <c r="G41" s="153">
        <v>100.578864</v>
      </c>
      <c r="H41" s="153">
        <v>110.675015</v>
      </c>
      <c r="I41" s="153">
        <v>291.08283499999999</v>
      </c>
      <c r="J41" s="152">
        <v>285.99497500000001</v>
      </c>
      <c r="K41" s="152">
        <v>393.01311600000002</v>
      </c>
      <c r="L41" s="153">
        <v>387.055542</v>
      </c>
      <c r="M41" s="850">
        <v>445.18531000000002</v>
      </c>
      <c r="N41" s="241">
        <v>295.20165100000003</v>
      </c>
    </row>
    <row r="42" spans="2:17" s="11" customFormat="1" ht="20.25" customHeight="1" x14ac:dyDescent="0.2">
      <c r="B42" s="364" t="s">
        <v>503</v>
      </c>
      <c r="C42" s="153">
        <v>113.085269</v>
      </c>
      <c r="D42" s="153">
        <v>135.91637900000001</v>
      </c>
      <c r="E42" s="153">
        <v>105.584046</v>
      </c>
      <c r="F42" s="153">
        <v>66.692537999999999</v>
      </c>
      <c r="G42" s="153">
        <v>75.046774999999997</v>
      </c>
      <c r="H42" s="153">
        <v>90.355296999999993</v>
      </c>
      <c r="I42" s="153">
        <v>92.826797999999997</v>
      </c>
      <c r="J42" s="152">
        <v>189.05755500000001</v>
      </c>
      <c r="K42" s="152">
        <v>176.29110399999999</v>
      </c>
      <c r="L42" s="153">
        <v>174.85132200000001</v>
      </c>
      <c r="M42" s="850">
        <v>132.27575300000001</v>
      </c>
      <c r="N42" s="241">
        <v>153.61202499999999</v>
      </c>
    </row>
    <row r="43" spans="2:17" s="11" customFormat="1" ht="20.25" customHeight="1" x14ac:dyDescent="0.2">
      <c r="B43" s="364" t="s">
        <v>443</v>
      </c>
      <c r="C43" s="153">
        <v>434.25734499999999</v>
      </c>
      <c r="D43" s="153">
        <v>389.76904300000001</v>
      </c>
      <c r="E43" s="153">
        <v>406.255268</v>
      </c>
      <c r="F43" s="153">
        <v>370.35083700000001</v>
      </c>
      <c r="G43" s="153">
        <v>655.20956699999999</v>
      </c>
      <c r="H43" s="153">
        <v>1108.936017</v>
      </c>
      <c r="I43" s="153">
        <v>644.08695999999998</v>
      </c>
      <c r="J43" s="152">
        <v>97.489563000000004</v>
      </c>
      <c r="K43" s="152">
        <v>310.96522100000004</v>
      </c>
      <c r="L43" s="153">
        <v>336.24692100000004</v>
      </c>
      <c r="M43" s="850">
        <v>299.17784900000004</v>
      </c>
      <c r="N43" s="241">
        <v>248.36375600000002</v>
      </c>
    </row>
    <row r="44" spans="2:17" s="11" customFormat="1" ht="20.25" customHeight="1" x14ac:dyDescent="0.2">
      <c r="B44" s="364" t="s">
        <v>444</v>
      </c>
      <c r="C44" s="153">
        <v>72.865583000000001</v>
      </c>
      <c r="D44" s="153">
        <v>59.690235999999999</v>
      </c>
      <c r="E44" s="153">
        <v>46.646951999999999</v>
      </c>
      <c r="F44" s="153">
        <v>48.599516000000001</v>
      </c>
      <c r="G44" s="153">
        <v>12.447543000000001</v>
      </c>
      <c r="H44" s="153">
        <v>34.237417000000001</v>
      </c>
      <c r="I44" s="153">
        <v>76.994902999999994</v>
      </c>
      <c r="J44" s="152">
        <v>73.962278999999995</v>
      </c>
      <c r="K44" s="152">
        <v>82.248053999999996</v>
      </c>
      <c r="L44" s="153">
        <v>66.852252000000007</v>
      </c>
      <c r="M44" s="850">
        <v>108.992594</v>
      </c>
      <c r="N44" s="241">
        <v>103.520844</v>
      </c>
    </row>
    <row r="45" spans="2:17" s="11" customFormat="1" ht="20.25" customHeight="1" x14ac:dyDescent="0.2">
      <c r="B45" s="364" t="s">
        <v>445</v>
      </c>
      <c r="C45" s="153">
        <v>184.21473499999999</v>
      </c>
      <c r="D45" s="153">
        <v>172.321842</v>
      </c>
      <c r="E45" s="153">
        <v>169.46095299999999</v>
      </c>
      <c r="F45" s="153">
        <v>157.379986</v>
      </c>
      <c r="G45" s="153">
        <v>170.16257400000001</v>
      </c>
      <c r="H45" s="153">
        <v>191.157634</v>
      </c>
      <c r="I45" s="153">
        <v>182.79307</v>
      </c>
      <c r="J45" s="152">
        <v>196.89224999999999</v>
      </c>
      <c r="K45" s="152">
        <v>242.10485600000001</v>
      </c>
      <c r="L45" s="153">
        <v>237.82461599999999</v>
      </c>
      <c r="M45" s="850">
        <v>238.779584</v>
      </c>
      <c r="N45" s="241">
        <v>238.22228899999999</v>
      </c>
    </row>
    <row r="46" spans="2:17" s="11" customFormat="1" ht="20.25" customHeight="1" x14ac:dyDescent="0.2">
      <c r="B46" s="365" t="s">
        <v>446</v>
      </c>
      <c r="C46" s="155">
        <v>968.327</v>
      </c>
      <c r="D46" s="155">
        <v>1899.951</v>
      </c>
      <c r="E46" s="155">
        <v>1799.1310000000001</v>
      </c>
      <c r="F46" s="155">
        <v>220.47488238847652</v>
      </c>
      <c r="G46" s="155">
        <v>2070.4380000000001</v>
      </c>
      <c r="H46" s="155">
        <v>2278.8969999999999</v>
      </c>
      <c r="I46" s="155">
        <v>2479.9630000000002</v>
      </c>
      <c r="J46" s="156">
        <v>190.95599999999999</v>
      </c>
      <c r="K46" s="156">
        <v>185.03299999999999</v>
      </c>
      <c r="L46" s="155">
        <v>143.70500000000001</v>
      </c>
      <c r="M46" s="860">
        <v>176.60726251</v>
      </c>
      <c r="N46" s="243">
        <v>197.047</v>
      </c>
    </row>
    <row r="47" spans="2:17" s="11" customFormat="1" ht="20.25" customHeight="1" x14ac:dyDescent="0.2">
      <c r="B47" s="369" t="s">
        <v>447</v>
      </c>
      <c r="C47" s="180">
        <f>C29+C34+C40+C46</f>
        <v>12726.203564999998</v>
      </c>
      <c r="D47" s="180">
        <f>D29+D34+D40+D46</f>
        <v>14168.240339</v>
      </c>
      <c r="E47" s="180">
        <f t="shared" ref="E47" si="49">E29+E34+E40+E46</f>
        <v>13902.301873</v>
      </c>
      <c r="F47" s="180">
        <f>F29+F34+F40+F46</f>
        <v>12691.621943388476</v>
      </c>
      <c r="G47" s="180">
        <f t="shared" ref="G47" si="50">G29+G34+G40+G46</f>
        <v>15124.817572</v>
      </c>
      <c r="H47" s="180">
        <f t="shared" ref="H47:J47" si="51">H29+H34+H40+H46</f>
        <v>16006.098807999999</v>
      </c>
      <c r="I47" s="180">
        <f>I29+I34+I40+I46</f>
        <v>16048.776557999998</v>
      </c>
      <c r="J47" s="186">
        <f t="shared" si="51"/>
        <v>14076.643909</v>
      </c>
      <c r="K47" s="186">
        <f>K29+K34+K40+K46</f>
        <v>14964.046585999999</v>
      </c>
      <c r="L47" s="185">
        <f>L29+L34+L40+L46</f>
        <v>15579.439095</v>
      </c>
      <c r="M47" s="835">
        <f>M29+M34+M40+M46</f>
        <v>16223.018484510001</v>
      </c>
      <c r="N47" s="249">
        <f>N29+N34+N40+N46</f>
        <v>16836.535405000002</v>
      </c>
      <c r="P47" s="729"/>
      <c r="Q47" s="729"/>
    </row>
    <row r="48" spans="2:17" s="11" customFormat="1" ht="9.75" customHeight="1" x14ac:dyDescent="0.2">
      <c r="B48" s="352"/>
      <c r="C48" s="155"/>
      <c r="D48" s="348"/>
      <c r="E48" s="348"/>
      <c r="F48" s="348"/>
      <c r="G48" s="348"/>
      <c r="H48" s="348"/>
      <c r="I48" s="348"/>
      <c r="J48" s="348"/>
      <c r="K48" s="348"/>
      <c r="L48" s="348"/>
      <c r="M48" s="348"/>
      <c r="N48" s="348"/>
    </row>
    <row r="49" spans="2:18" s="11" customFormat="1" ht="11.45" customHeight="1" x14ac:dyDescent="0.2">
      <c r="B49" s="352"/>
      <c r="C49" s="155"/>
      <c r="D49" s="348"/>
      <c r="E49" s="348"/>
      <c r="F49" s="348"/>
      <c r="G49" s="348"/>
      <c r="H49" s="348"/>
      <c r="I49" s="348"/>
      <c r="J49" s="348"/>
      <c r="K49" s="348"/>
      <c r="L49" s="348"/>
      <c r="M49" s="348"/>
      <c r="N49" s="348"/>
    </row>
    <row r="50" spans="2:18" s="11" customFormat="1" ht="28.15" customHeight="1" x14ac:dyDescent="0.2">
      <c r="B50" s="357" t="s">
        <v>507</v>
      </c>
      <c r="C50" s="358">
        <v>44651</v>
      </c>
      <c r="D50" s="358">
        <v>44742</v>
      </c>
      <c r="E50" s="358">
        <v>44834</v>
      </c>
      <c r="F50" s="358">
        <v>44926</v>
      </c>
      <c r="G50" s="358">
        <v>45016</v>
      </c>
      <c r="H50" s="358">
        <v>45107</v>
      </c>
      <c r="I50" s="358">
        <v>45199</v>
      </c>
      <c r="J50" s="358">
        <v>45291</v>
      </c>
      <c r="K50" s="358">
        <v>45382</v>
      </c>
      <c r="L50" s="358">
        <v>45473</v>
      </c>
      <c r="M50" s="374">
        <v>45565</v>
      </c>
      <c r="N50" s="359">
        <v>45657</v>
      </c>
    </row>
    <row r="51" spans="2:18" s="11" customFormat="1" ht="19.899999999999999" customHeight="1" x14ac:dyDescent="0.2">
      <c r="B51" s="151" t="s">
        <v>486</v>
      </c>
      <c r="C51" s="152">
        <v>1306.9770000000001</v>
      </c>
      <c r="D51" s="152">
        <v>1381.1241618700001</v>
      </c>
      <c r="E51" s="152">
        <v>1471.5940000000001</v>
      </c>
      <c r="F51" s="152">
        <v>1522.261</v>
      </c>
      <c r="G51" s="152">
        <v>1521.57</v>
      </c>
      <c r="H51" s="152">
        <v>1753.405</v>
      </c>
      <c r="I51" s="153">
        <v>1754.3810000000001</v>
      </c>
      <c r="J51" s="152">
        <v>1756.961</v>
      </c>
      <c r="K51" s="152">
        <v>1798.298</v>
      </c>
      <c r="L51" s="153">
        <v>1801.8679999999999</v>
      </c>
      <c r="M51" s="850">
        <v>1811.91643264</v>
      </c>
      <c r="N51" s="241">
        <v>1790.49</v>
      </c>
      <c r="P51" s="729"/>
      <c r="Q51" s="729"/>
    </row>
    <row r="52" spans="2:18" s="11" customFormat="1" ht="19.899999999999999" customHeight="1" x14ac:dyDescent="0.2">
      <c r="B52" s="151" t="s">
        <v>487</v>
      </c>
      <c r="C52" s="152">
        <v>1175.6890000000001</v>
      </c>
      <c r="D52" s="152">
        <v>1160.1420000000001</v>
      </c>
      <c r="E52" s="152">
        <v>1183.82</v>
      </c>
      <c r="F52" s="152">
        <v>1259.723</v>
      </c>
      <c r="G52" s="152">
        <v>1262.5139999999999</v>
      </c>
      <c r="H52" s="152">
        <v>1195.6880000000001</v>
      </c>
      <c r="I52" s="153">
        <v>1202.365</v>
      </c>
      <c r="J52" s="152">
        <v>1167.2819999999999</v>
      </c>
      <c r="K52" s="152">
        <v>1175.7360000000001</v>
      </c>
      <c r="L52" s="153">
        <v>1171.664</v>
      </c>
      <c r="M52" s="850">
        <v>1167.81467823</v>
      </c>
      <c r="N52" s="241">
        <v>1010.684</v>
      </c>
      <c r="P52" s="729"/>
      <c r="Q52" s="729"/>
    </row>
    <row r="53" spans="2:18" s="11" customFormat="1" ht="19.899999999999999" customHeight="1" x14ac:dyDescent="0.2">
      <c r="B53" s="151" t="s">
        <v>488</v>
      </c>
      <c r="C53" s="152">
        <v>727.51614491000009</v>
      </c>
      <c r="D53" s="152">
        <v>719.75456700000007</v>
      </c>
      <c r="E53" s="152">
        <v>638.66173617999993</v>
      </c>
      <c r="F53" s="152">
        <v>517.96069512999998</v>
      </c>
      <c r="G53" s="152">
        <v>522.47415680999995</v>
      </c>
      <c r="H53" s="152">
        <v>512.2404389400001</v>
      </c>
      <c r="I53" s="153">
        <v>480.66539519999992</v>
      </c>
      <c r="J53" s="152">
        <v>514.96894064000003</v>
      </c>
      <c r="K53" s="152">
        <v>524.21140799</v>
      </c>
      <c r="L53" s="153">
        <v>574.45337884000003</v>
      </c>
      <c r="M53" s="850">
        <v>531.5516630300001</v>
      </c>
      <c r="N53" s="241">
        <v>509.06876013999999</v>
      </c>
      <c r="P53" s="729"/>
      <c r="Q53" s="729"/>
    </row>
    <row r="54" spans="2:18" s="11" customFormat="1" ht="19.899999999999999" customHeight="1" x14ac:dyDescent="0.2">
      <c r="B54" s="732" t="s">
        <v>485</v>
      </c>
      <c r="C54" s="733">
        <f>SUM(C51:C53)</f>
        <v>3210.1821449100003</v>
      </c>
      <c r="D54" s="733">
        <f t="shared" ref="D54:K54" si="52">SUM(D51:D53)</f>
        <v>3261.0207288700003</v>
      </c>
      <c r="E54" s="733">
        <f t="shared" si="52"/>
        <v>3294.0757361799997</v>
      </c>
      <c r="F54" s="733">
        <f t="shared" si="52"/>
        <v>3299.9446951299997</v>
      </c>
      <c r="G54" s="733">
        <f t="shared" si="52"/>
        <v>3306.5581568099997</v>
      </c>
      <c r="H54" s="733">
        <f t="shared" si="52"/>
        <v>3461.3334389399997</v>
      </c>
      <c r="I54" s="733">
        <f t="shared" si="52"/>
        <v>3437.4113951999998</v>
      </c>
      <c r="J54" s="733">
        <f t="shared" si="52"/>
        <v>3439.2119406399997</v>
      </c>
      <c r="K54" s="733">
        <f t="shared" si="52"/>
        <v>3498.2454079899999</v>
      </c>
      <c r="L54" s="859">
        <f t="shared" ref="L54" si="53">SUM(L51:L53)</f>
        <v>3547.9853788400001</v>
      </c>
      <c r="M54" s="864">
        <f t="shared" ref="M54:N54" si="54">SUM(M51:M53)</f>
        <v>3511.2827739000004</v>
      </c>
      <c r="N54" s="734">
        <f t="shared" si="54"/>
        <v>3310.24276014</v>
      </c>
      <c r="Q54" s="729"/>
    </row>
    <row r="55" spans="2:18" s="11" customFormat="1" ht="11.45" customHeight="1" x14ac:dyDescent="0.2">
      <c r="B55" s="731"/>
      <c r="C55" s="349"/>
      <c r="D55" s="349"/>
      <c r="E55" s="349"/>
      <c r="F55" s="349"/>
      <c r="G55" s="349"/>
      <c r="H55" s="349"/>
      <c r="I55" s="349"/>
      <c r="J55" s="349"/>
      <c r="K55" s="349"/>
      <c r="L55" s="349"/>
      <c r="M55" s="349"/>
      <c r="N55" s="349"/>
    </row>
    <row r="56" spans="2:18" s="11" customFormat="1" ht="13.5" customHeight="1" x14ac:dyDescent="0.2">
      <c r="B56" s="939"/>
      <c r="C56" s="940"/>
      <c r="D56" s="940"/>
      <c r="E56" s="940"/>
      <c r="F56" s="940"/>
      <c r="G56" s="940"/>
      <c r="H56" s="940"/>
      <c r="I56" s="940"/>
      <c r="J56" s="940"/>
      <c r="K56" s="940"/>
      <c r="L56" s="940"/>
      <c r="M56" s="940"/>
      <c r="N56" s="940"/>
    </row>
    <row r="57" spans="2:18" s="6" customFormat="1" ht="28.5" customHeight="1" x14ac:dyDescent="0.2">
      <c r="B57" s="357" t="s">
        <v>12</v>
      </c>
      <c r="C57" s="358">
        <v>44651</v>
      </c>
      <c r="D57" s="358">
        <v>44742</v>
      </c>
      <c r="E57" s="358">
        <v>44834</v>
      </c>
      <c r="F57" s="358">
        <v>44926</v>
      </c>
      <c r="G57" s="358">
        <v>45016</v>
      </c>
      <c r="H57" s="358">
        <v>45107</v>
      </c>
      <c r="I57" s="358">
        <v>45199</v>
      </c>
      <c r="J57" s="358">
        <v>45291</v>
      </c>
      <c r="K57" s="358">
        <v>45382</v>
      </c>
      <c r="L57" s="358">
        <v>45473</v>
      </c>
      <c r="M57" s="374">
        <v>45565</v>
      </c>
      <c r="N57" s="359">
        <v>45657</v>
      </c>
    </row>
    <row r="58" spans="2:18" s="9" customFormat="1" ht="20.25" customHeight="1" x14ac:dyDescent="0.2">
      <c r="B58" s="364" t="s">
        <v>21</v>
      </c>
      <c r="C58" s="152">
        <v>24506.804319999999</v>
      </c>
      <c r="D58" s="152">
        <v>24515.160565999999</v>
      </c>
      <c r="E58" s="152">
        <v>24730.949412999998</v>
      </c>
      <c r="F58" s="152">
        <v>25795.141911529998</v>
      </c>
      <c r="G58" s="152">
        <v>24277.181081999999</v>
      </c>
      <c r="H58" s="152">
        <v>23702.750005000002</v>
      </c>
      <c r="I58" s="153">
        <v>23350.971354000001</v>
      </c>
      <c r="J58" s="152">
        <v>24184.438458000001</v>
      </c>
      <c r="K58" s="152">
        <v>23527.740998000001</v>
      </c>
      <c r="L58" s="153">
        <v>23467.172824000001</v>
      </c>
      <c r="M58" s="850">
        <v>23270.471738</v>
      </c>
      <c r="N58" s="241">
        <v>24508.576004999999</v>
      </c>
      <c r="P58" s="910"/>
      <c r="Q58" s="40"/>
      <c r="R58" s="40"/>
    </row>
    <row r="59" spans="2:18" s="9" customFormat="1" ht="20.25" customHeight="1" x14ac:dyDescent="0.2">
      <c r="B59" s="364" t="s">
        <v>22</v>
      </c>
      <c r="C59" s="152">
        <v>20576.458893999999</v>
      </c>
      <c r="D59" s="152">
        <v>22174.075815</v>
      </c>
      <c r="E59" s="152">
        <v>22289.721955000001</v>
      </c>
      <c r="F59" s="152">
        <v>22246.435624269998</v>
      </c>
      <c r="G59" s="152">
        <v>21038.986684</v>
      </c>
      <c r="H59" s="152">
        <v>21165.675943999999</v>
      </c>
      <c r="I59" s="153">
        <v>21446.329603000002</v>
      </c>
      <c r="J59" s="152">
        <v>21876.783459000002</v>
      </c>
      <c r="K59" s="152">
        <v>21755.955046999999</v>
      </c>
      <c r="L59" s="153">
        <v>22747.633449999998</v>
      </c>
      <c r="M59" s="850">
        <v>23774.306382000002</v>
      </c>
      <c r="N59" s="241">
        <v>24662.818252999998</v>
      </c>
      <c r="P59" s="910"/>
      <c r="Q59" s="40"/>
      <c r="R59" s="40"/>
    </row>
    <row r="60" spans="2:18" s="9" customFormat="1" ht="20.25" customHeight="1" x14ac:dyDescent="0.2">
      <c r="B60" s="364" t="s">
        <v>130</v>
      </c>
      <c r="C60" s="152">
        <v>9770.6764719999992</v>
      </c>
      <c r="D60" s="152">
        <v>9389.8262969999996</v>
      </c>
      <c r="E60" s="152">
        <v>9711.8803659999994</v>
      </c>
      <c r="F60" s="152">
        <v>10330.339848039999</v>
      </c>
      <c r="G60" s="152">
        <v>11857.747619</v>
      </c>
      <c r="H60" s="152">
        <v>13513.061891000001</v>
      </c>
      <c r="I60" s="153">
        <v>13865.773385</v>
      </c>
      <c r="J60" s="152">
        <v>13505.433376999999</v>
      </c>
      <c r="K60" s="152">
        <v>13307.001789</v>
      </c>
      <c r="L60" s="153">
        <v>13542.628015999999</v>
      </c>
      <c r="M60" s="850">
        <v>13495.229067</v>
      </c>
      <c r="N60" s="241">
        <v>13681.466689999999</v>
      </c>
      <c r="P60" s="910"/>
      <c r="Q60" s="40"/>
      <c r="R60" s="40"/>
    </row>
    <row r="61" spans="2:18" s="9" customFormat="1" ht="20.25" customHeight="1" x14ac:dyDescent="0.2">
      <c r="B61" s="365" t="s">
        <v>261</v>
      </c>
      <c r="C61" s="349">
        <f t="shared" ref="C61:F61" si="55">C58+C59+C60</f>
        <v>54853.939685999998</v>
      </c>
      <c r="D61" s="349">
        <f t="shared" si="55"/>
        <v>56079.062677999995</v>
      </c>
      <c r="E61" s="349">
        <f t="shared" si="55"/>
        <v>56732.551733999993</v>
      </c>
      <c r="F61" s="349">
        <f t="shared" si="55"/>
        <v>58371.917383839995</v>
      </c>
      <c r="G61" s="349">
        <f t="shared" ref="G61" si="56">G58+G59+G60</f>
        <v>57173.915385</v>
      </c>
      <c r="H61" s="349">
        <f t="shared" ref="H61:L61" si="57">H58+H59+H60</f>
        <v>58381.487840000002</v>
      </c>
      <c r="I61" s="348">
        <f t="shared" si="57"/>
        <v>58663.074342</v>
      </c>
      <c r="J61" s="349">
        <f t="shared" si="57"/>
        <v>59566.655294000004</v>
      </c>
      <c r="K61" s="349">
        <f t="shared" si="57"/>
        <v>58590.697834000006</v>
      </c>
      <c r="L61" s="348">
        <f t="shared" si="57"/>
        <v>59757.434290000005</v>
      </c>
      <c r="M61" s="834">
        <f>M58+M59+M60</f>
        <v>60540.007187000003</v>
      </c>
      <c r="N61" s="360">
        <f>N58+N59+N60</f>
        <v>62852.860948000001</v>
      </c>
      <c r="P61" s="911"/>
      <c r="Q61" s="40"/>
    </row>
    <row r="62" spans="2:18" s="9" customFormat="1" ht="14.25" customHeight="1" x14ac:dyDescent="0.2">
      <c r="B62" s="365"/>
      <c r="C62" s="349"/>
      <c r="D62" s="349"/>
      <c r="E62" s="349"/>
      <c r="F62" s="349"/>
      <c r="G62" s="349"/>
      <c r="H62" s="349"/>
      <c r="I62" s="348"/>
      <c r="J62" s="349"/>
      <c r="K62" s="349"/>
      <c r="L62" s="348"/>
      <c r="M62" s="834"/>
      <c r="N62" s="360"/>
    </row>
    <row r="63" spans="2:18" s="9" customFormat="1" ht="20.25" customHeight="1" x14ac:dyDescent="0.2">
      <c r="B63" s="366" t="s">
        <v>23</v>
      </c>
      <c r="C63" s="349"/>
      <c r="D63" s="349"/>
      <c r="E63" s="349"/>
      <c r="F63" s="349"/>
      <c r="G63" s="349"/>
      <c r="H63" s="349"/>
      <c r="I63" s="348"/>
      <c r="J63" s="349"/>
      <c r="K63" s="349"/>
      <c r="L63" s="348"/>
      <c r="M63" s="834"/>
      <c r="N63" s="360"/>
    </row>
    <row r="64" spans="2:18" s="9" customFormat="1" ht="20.25" customHeight="1" x14ac:dyDescent="0.2">
      <c r="B64" s="364" t="s">
        <v>21</v>
      </c>
      <c r="C64" s="351">
        <f t="shared" ref="C64:D66" si="58">+C58/C$61</f>
        <v>0.44676470751752961</v>
      </c>
      <c r="D64" s="351">
        <f t="shared" si="58"/>
        <v>0.43715353636995397</v>
      </c>
      <c r="E64" s="351">
        <f t="shared" ref="E64:I64" si="59">+E58/E$61</f>
        <v>0.43592168265152553</v>
      </c>
      <c r="F64" s="351">
        <f t="shared" si="59"/>
        <v>0.44191013534654366</v>
      </c>
      <c r="G64" s="351">
        <f t="shared" si="59"/>
        <v>0.42461987986167021</v>
      </c>
      <c r="H64" s="351">
        <f t="shared" si="59"/>
        <v>0.40599770375773281</v>
      </c>
      <c r="I64" s="367">
        <f t="shared" si="59"/>
        <v>0.398052294666081</v>
      </c>
      <c r="J64" s="351">
        <f t="shared" ref="J64" si="60">+J58/J$61</f>
        <v>0.40600631911652824</v>
      </c>
      <c r="K64" s="351">
        <f t="shared" ref="K64" si="61">+K58/K$61</f>
        <v>0.40156103046697156</v>
      </c>
      <c r="L64" s="367">
        <f t="shared" ref="L64" si="62">+L58/L$61</f>
        <v>0.3927071686196385</v>
      </c>
      <c r="M64" s="862">
        <f t="shared" ref="M64:N66" si="63">+M58/M$61</f>
        <v>0.38438171416334027</v>
      </c>
      <c r="N64" s="368">
        <f t="shared" si="63"/>
        <v>0.38993572663743431</v>
      </c>
    </row>
    <row r="65" spans="2:17" s="9" customFormat="1" ht="20.25" customHeight="1" x14ac:dyDescent="0.2">
      <c r="B65" s="364" t="s">
        <v>22</v>
      </c>
      <c r="C65" s="351">
        <f t="shared" si="58"/>
        <v>0.37511360189962056</v>
      </c>
      <c r="D65" s="351">
        <f t="shared" si="58"/>
        <v>0.39540739013990267</v>
      </c>
      <c r="E65" s="351">
        <f t="shared" ref="E65:F65" si="64">+E59/E$61</f>
        <v>0.39289122864610548</v>
      </c>
      <c r="F65" s="351">
        <f t="shared" si="64"/>
        <v>0.38111538255601013</v>
      </c>
      <c r="G65" s="351">
        <f t="shared" ref="G65" si="65">+G59/G$61</f>
        <v>0.36798226153179869</v>
      </c>
      <c r="H65" s="351">
        <f t="shared" ref="H65" si="66">+H59/H$61</f>
        <v>0.36254087943093433</v>
      </c>
      <c r="I65" s="367">
        <f t="shared" ref="I65" si="67">+I59/I$61</f>
        <v>0.36558482219956617</v>
      </c>
      <c r="J65" s="351">
        <f t="shared" ref="J65" si="68">+J59/J$61</f>
        <v>0.36726560104850464</v>
      </c>
      <c r="K65" s="351">
        <f t="shared" ref="K65" si="69">+K59/K$61</f>
        <v>0.37132097502301953</v>
      </c>
      <c r="L65" s="367">
        <f t="shared" ref="L65" si="70">+L59/L$61</f>
        <v>0.38066616681711613</v>
      </c>
      <c r="M65" s="862">
        <f t="shared" si="63"/>
        <v>0.39270405615520232</v>
      </c>
      <c r="N65" s="368">
        <f t="shared" si="63"/>
        <v>0.39238974775395291</v>
      </c>
    </row>
    <row r="66" spans="2:17" s="9" customFormat="1" ht="20.25" customHeight="1" x14ac:dyDescent="0.2">
      <c r="B66" s="364" t="s">
        <v>130</v>
      </c>
      <c r="C66" s="351">
        <f t="shared" si="58"/>
        <v>0.17812169058284985</v>
      </c>
      <c r="D66" s="351">
        <f t="shared" si="58"/>
        <v>0.16743907349014342</v>
      </c>
      <c r="E66" s="351">
        <f t="shared" ref="E66:F66" si="71">+E60/E$61</f>
        <v>0.17118708870236907</v>
      </c>
      <c r="F66" s="351">
        <f t="shared" si="71"/>
        <v>0.17697448209744618</v>
      </c>
      <c r="G66" s="351">
        <f t="shared" ref="G66" si="72">+G60/G$61</f>
        <v>0.20739785860653104</v>
      </c>
      <c r="H66" s="351">
        <f t="shared" ref="H66" si="73">+H60/H$61</f>
        <v>0.23146141681133287</v>
      </c>
      <c r="I66" s="367">
        <f t="shared" ref="I66" si="74">+I60/I$61</f>
        <v>0.23636288313435286</v>
      </c>
      <c r="J66" s="351">
        <f t="shared" ref="J66" si="75">+J60/J$61</f>
        <v>0.22672807983496712</v>
      </c>
      <c r="K66" s="351">
        <f t="shared" ref="K66" si="76">+K60/K$61</f>
        <v>0.22711799451000883</v>
      </c>
      <c r="L66" s="367">
        <f t="shared" ref="L66" si="77">+L60/L$61</f>
        <v>0.22662666456324521</v>
      </c>
      <c r="M66" s="862">
        <f t="shared" si="63"/>
        <v>0.22291422968145741</v>
      </c>
      <c r="N66" s="368">
        <f t="shared" si="63"/>
        <v>0.2176745256086127</v>
      </c>
    </row>
    <row r="67" spans="2:17" s="9" customFormat="1" ht="20.25" customHeight="1" x14ac:dyDescent="0.2">
      <c r="B67" s="369" t="s">
        <v>262</v>
      </c>
      <c r="C67" s="370">
        <f t="shared" ref="C67" si="78">+C64+C65+C66</f>
        <v>1</v>
      </c>
      <c r="D67" s="370">
        <f t="shared" ref="D67" si="79">+D64+D65+D66</f>
        <v>1</v>
      </c>
      <c r="E67" s="370">
        <f t="shared" ref="E67:I67" si="80">+E64+E65+E66</f>
        <v>1</v>
      </c>
      <c r="F67" s="370">
        <f t="shared" si="80"/>
        <v>1</v>
      </c>
      <c r="G67" s="370">
        <f t="shared" si="80"/>
        <v>1</v>
      </c>
      <c r="H67" s="370">
        <f t="shared" si="80"/>
        <v>1</v>
      </c>
      <c r="I67" s="371">
        <f t="shared" si="80"/>
        <v>1</v>
      </c>
      <c r="J67" s="370">
        <f t="shared" ref="J67" si="81">+J64+J65+J66</f>
        <v>1</v>
      </c>
      <c r="K67" s="370">
        <f t="shared" ref="K67" si="82">+K64+K65+K66</f>
        <v>0.99999999999999989</v>
      </c>
      <c r="L67" s="371">
        <f t="shared" ref="L67" si="83">+L64+L65+L66</f>
        <v>0.99999999999999989</v>
      </c>
      <c r="M67" s="863">
        <f>+M64+M65+M66</f>
        <v>1</v>
      </c>
      <c r="N67" s="372">
        <f>+N64+N65+N66</f>
        <v>0.99999999999999989</v>
      </c>
    </row>
    <row r="68" spans="2:17" s="11" customFormat="1" ht="11.25" customHeight="1" x14ac:dyDescent="0.2">
      <c r="B68" s="318"/>
      <c r="C68" s="318"/>
      <c r="D68" s="318"/>
      <c r="E68" s="318"/>
      <c r="F68" s="318"/>
      <c r="G68" s="318"/>
      <c r="H68" s="318"/>
      <c r="I68" s="318"/>
      <c r="J68" s="318"/>
      <c r="K68" s="318"/>
      <c r="L68" s="318"/>
      <c r="M68" s="318"/>
      <c r="N68" s="318"/>
    </row>
    <row r="69" spans="2:17" s="19" customFormat="1" ht="13.5" customHeight="1" x14ac:dyDescent="0.2">
      <c r="B69" s="355"/>
      <c r="C69" s="356"/>
      <c r="D69" s="356"/>
      <c r="E69" s="356"/>
      <c r="F69" s="356"/>
      <c r="G69" s="356"/>
      <c r="H69" s="356"/>
      <c r="I69" s="356"/>
      <c r="J69" s="356"/>
      <c r="K69" s="356"/>
      <c r="L69" s="356"/>
      <c r="M69" s="356"/>
      <c r="N69" s="356"/>
    </row>
    <row r="70" spans="2:17" ht="21" customHeight="1" x14ac:dyDescent="0.2">
      <c r="B70" s="357" t="s">
        <v>97</v>
      </c>
      <c r="C70" s="358">
        <v>44651</v>
      </c>
      <c r="D70" s="358">
        <v>44742</v>
      </c>
      <c r="E70" s="358">
        <v>44834</v>
      </c>
      <c r="F70" s="358">
        <v>44926</v>
      </c>
      <c r="G70" s="358">
        <v>45016</v>
      </c>
      <c r="H70" s="358">
        <v>45107</v>
      </c>
      <c r="I70" s="358">
        <v>45199</v>
      </c>
      <c r="J70" s="358">
        <v>45291</v>
      </c>
      <c r="K70" s="358">
        <v>45382</v>
      </c>
      <c r="L70" s="358">
        <v>45473</v>
      </c>
      <c r="M70" s="374">
        <v>45565</v>
      </c>
      <c r="N70" s="359">
        <v>45657</v>
      </c>
    </row>
    <row r="71" spans="2:17" ht="21" customHeight="1" x14ac:dyDescent="0.2">
      <c r="B71" s="154" t="s">
        <v>98</v>
      </c>
      <c r="C71" s="156">
        <f t="shared" ref="C71:G71" si="84">C72+C73</f>
        <v>54853.939685999991</v>
      </c>
      <c r="D71" s="156">
        <f t="shared" si="84"/>
        <v>56079.062678000002</v>
      </c>
      <c r="E71" s="156">
        <f t="shared" si="84"/>
        <v>56732.551733999993</v>
      </c>
      <c r="F71" s="156">
        <f t="shared" si="84"/>
        <v>58371.917383839995</v>
      </c>
      <c r="G71" s="156">
        <f t="shared" si="84"/>
        <v>57173.915385</v>
      </c>
      <c r="H71" s="156">
        <f t="shared" ref="H71" si="85">H72+H73</f>
        <v>58381.487840000002</v>
      </c>
      <c r="I71" s="155">
        <f t="shared" ref="I71" si="86">I72+I73</f>
        <v>58663.074342</v>
      </c>
      <c r="J71" s="156">
        <f t="shared" ref="J71" si="87">J72+J73</f>
        <v>59566.655293999997</v>
      </c>
      <c r="K71" s="156">
        <f>K72+K73</f>
        <v>58590.697834000006</v>
      </c>
      <c r="L71" s="155">
        <f>L72+L73</f>
        <v>59757.434290000005</v>
      </c>
      <c r="M71" s="860">
        <f>M72+M73</f>
        <v>60540.007187000003</v>
      </c>
      <c r="N71" s="243">
        <f>N72+N73</f>
        <v>62852.860947999994</v>
      </c>
    </row>
    <row r="72" spans="2:17" ht="21" customHeight="1" x14ac:dyDescent="0.2">
      <c r="B72" s="151" t="s">
        <v>99</v>
      </c>
      <c r="C72" s="152">
        <v>45083.263213999991</v>
      </c>
      <c r="D72" s="152">
        <v>46689.236381000002</v>
      </c>
      <c r="E72" s="152">
        <v>47020.671367999996</v>
      </c>
      <c r="F72" s="152">
        <v>48041.577535799996</v>
      </c>
      <c r="G72" s="152">
        <v>45316.167765999999</v>
      </c>
      <c r="H72" s="152">
        <v>44868.425948999997</v>
      </c>
      <c r="I72" s="153">
        <v>44797.300956999999</v>
      </c>
      <c r="J72" s="152">
        <v>46061.221916999995</v>
      </c>
      <c r="K72" s="152">
        <v>45283.696045000004</v>
      </c>
      <c r="L72" s="153">
        <v>46214.806274000002</v>
      </c>
      <c r="M72" s="850">
        <v>47044.778120000003</v>
      </c>
      <c r="N72" s="241">
        <v>49171.394257999993</v>
      </c>
    </row>
    <row r="73" spans="2:17" ht="21" customHeight="1" x14ac:dyDescent="0.2">
      <c r="B73" s="151" t="s">
        <v>100</v>
      </c>
      <c r="C73" s="152">
        <v>9770.6764719999992</v>
      </c>
      <c r="D73" s="152">
        <v>9389.8262969999996</v>
      </c>
      <c r="E73" s="152">
        <v>9711.8803659999994</v>
      </c>
      <c r="F73" s="152">
        <v>10330.339848039999</v>
      </c>
      <c r="G73" s="152">
        <v>11857.747619</v>
      </c>
      <c r="H73" s="152">
        <v>13513.061891000001</v>
      </c>
      <c r="I73" s="153">
        <v>13865.773385</v>
      </c>
      <c r="J73" s="152">
        <v>13505.433376999999</v>
      </c>
      <c r="K73" s="152">
        <v>13307.001789</v>
      </c>
      <c r="L73" s="153">
        <v>13542.628015999999</v>
      </c>
      <c r="M73" s="850">
        <v>13495.229067</v>
      </c>
      <c r="N73" s="241">
        <v>13681.466689999999</v>
      </c>
    </row>
    <row r="74" spans="2:17" ht="21" customHeight="1" x14ac:dyDescent="0.2">
      <c r="B74" s="154" t="s">
        <v>456</v>
      </c>
      <c r="C74" s="349">
        <f>C75+C76+C77</f>
        <v>6696.6</v>
      </c>
      <c r="D74" s="349">
        <f t="shared" ref="D74:I74" si="88">D75+D76+D77</f>
        <v>6516.1</v>
      </c>
      <c r="E74" s="349">
        <f t="shared" si="88"/>
        <v>6425</v>
      </c>
      <c r="F74" s="349">
        <f t="shared" si="88"/>
        <v>6938.49</v>
      </c>
      <c r="G74" s="349">
        <f t="shared" si="88"/>
        <v>7554</v>
      </c>
      <c r="H74" s="349">
        <f t="shared" si="88"/>
        <v>8220</v>
      </c>
      <c r="I74" s="349">
        <f t="shared" si="88"/>
        <v>8512</v>
      </c>
      <c r="J74" s="349">
        <f>J75+J76+J77</f>
        <v>9311</v>
      </c>
      <c r="K74" s="349">
        <f>K75+K76+K77</f>
        <v>10037</v>
      </c>
      <c r="L74" s="348">
        <f>L75+L76+L77</f>
        <v>10427</v>
      </c>
      <c r="M74" s="834">
        <f>M75+M76+M77</f>
        <v>11009</v>
      </c>
      <c r="N74" s="360">
        <f>N75+N76+N77</f>
        <v>11440</v>
      </c>
      <c r="Q74" s="812"/>
    </row>
    <row r="75" spans="2:17" ht="21" customHeight="1" x14ac:dyDescent="0.2">
      <c r="B75" s="361" t="s">
        <v>357</v>
      </c>
      <c r="C75" s="273">
        <v>2110</v>
      </c>
      <c r="D75" s="273">
        <v>1983</v>
      </c>
      <c r="E75" s="273">
        <v>1929</v>
      </c>
      <c r="F75" s="273">
        <v>2142</v>
      </c>
      <c r="G75" s="273">
        <v>2559</v>
      </c>
      <c r="H75" s="273">
        <v>2752</v>
      </c>
      <c r="I75" s="284">
        <v>2873</v>
      </c>
      <c r="J75" s="273">
        <v>3347</v>
      </c>
      <c r="K75" s="273">
        <v>3726</v>
      </c>
      <c r="L75" s="284">
        <v>4102</v>
      </c>
      <c r="M75" s="839">
        <v>4403</v>
      </c>
      <c r="N75" s="362">
        <v>4578</v>
      </c>
      <c r="P75" s="815"/>
      <c r="Q75" s="815"/>
    </row>
    <row r="76" spans="2:17" ht="21" customHeight="1" x14ac:dyDescent="0.2">
      <c r="B76" s="361" t="s">
        <v>426</v>
      </c>
      <c r="C76" s="273">
        <v>1182</v>
      </c>
      <c r="D76" s="273">
        <v>1120</v>
      </c>
      <c r="E76" s="273">
        <v>1190</v>
      </c>
      <c r="F76" s="273">
        <v>1291</v>
      </c>
      <c r="G76" s="273">
        <v>1333</v>
      </c>
      <c r="H76" s="273">
        <v>1600</v>
      </c>
      <c r="I76" s="284">
        <v>1686</v>
      </c>
      <c r="J76" s="273">
        <v>1811</v>
      </c>
      <c r="K76" s="273">
        <v>1975</v>
      </c>
      <c r="L76" s="284">
        <v>1878</v>
      </c>
      <c r="M76" s="839">
        <v>1989</v>
      </c>
      <c r="N76" s="362">
        <v>2060</v>
      </c>
      <c r="P76" s="815"/>
      <c r="Q76" s="815"/>
    </row>
    <row r="77" spans="2:17" ht="21" customHeight="1" x14ac:dyDescent="0.2">
      <c r="B77" s="361" t="s">
        <v>358</v>
      </c>
      <c r="C77" s="273">
        <v>3404.6000000000004</v>
      </c>
      <c r="D77" s="273">
        <v>3413.1000000000004</v>
      </c>
      <c r="E77" s="273">
        <v>3306</v>
      </c>
      <c r="F77" s="273">
        <v>3505.49</v>
      </c>
      <c r="G77" s="273">
        <v>3662</v>
      </c>
      <c r="H77" s="273">
        <v>3868</v>
      </c>
      <c r="I77" s="284">
        <v>3953</v>
      </c>
      <c r="J77" s="273">
        <v>4153</v>
      </c>
      <c r="K77" s="273">
        <v>4336</v>
      </c>
      <c r="L77" s="284">
        <v>4447</v>
      </c>
      <c r="M77" s="839">
        <v>4617</v>
      </c>
      <c r="N77" s="362">
        <v>4802</v>
      </c>
      <c r="P77" s="815"/>
      <c r="Q77" s="815"/>
    </row>
    <row r="78" spans="2:17" ht="21" customHeight="1" x14ac:dyDescent="0.2">
      <c r="B78" s="363" t="s">
        <v>359</v>
      </c>
      <c r="C78" s="181">
        <f t="shared" ref="C78" si="89">C71+C74</f>
        <v>61550.539685999989</v>
      </c>
      <c r="D78" s="181">
        <f>D71+D74</f>
        <v>62595.162678000001</v>
      </c>
      <c r="E78" s="181">
        <f t="shared" ref="E78" si="90">E71+E74</f>
        <v>63157.551733999993</v>
      </c>
      <c r="F78" s="181">
        <f t="shared" ref="F78" si="91">F71+F74</f>
        <v>65310.407383839993</v>
      </c>
      <c r="G78" s="181">
        <f t="shared" ref="G78" si="92">G71+G74</f>
        <v>64727.915385</v>
      </c>
      <c r="H78" s="181">
        <f t="shared" ref="H78" si="93">H71+H74</f>
        <v>66601.487840000002</v>
      </c>
      <c r="I78" s="180">
        <f t="shared" ref="I78" si="94">I71+I74</f>
        <v>67175.074342000007</v>
      </c>
      <c r="J78" s="181">
        <f>J71+J74</f>
        <v>68877.655293999997</v>
      </c>
      <c r="K78" s="181">
        <f>K71+K74</f>
        <v>68627.697834000006</v>
      </c>
      <c r="L78" s="180">
        <f>L71+L74</f>
        <v>70184.434290000005</v>
      </c>
      <c r="M78" s="865">
        <f>M71+M74</f>
        <v>71549.00718700001</v>
      </c>
      <c r="N78" s="251">
        <f>N71+N74</f>
        <v>74292.860947999987</v>
      </c>
    </row>
    <row r="79" spans="2:17" ht="11.25" customHeight="1" x14ac:dyDescent="0.2">
      <c r="B79" s="938"/>
      <c r="C79" s="938"/>
      <c r="D79" s="938"/>
      <c r="E79" s="938"/>
      <c r="F79" s="938"/>
      <c r="G79" s="938"/>
      <c r="H79" s="938"/>
      <c r="I79" s="938"/>
      <c r="J79" s="938"/>
      <c r="K79" s="938"/>
      <c r="L79" s="938"/>
      <c r="M79" s="938"/>
      <c r="N79" s="938"/>
    </row>
    <row r="80" spans="2:17" ht="21" customHeight="1" x14ac:dyDescent="0.2">
      <c r="B80" s="939" t="s">
        <v>316</v>
      </c>
      <c r="C80" s="940"/>
      <c r="D80" s="940"/>
      <c r="E80" s="940"/>
      <c r="F80" s="940"/>
      <c r="G80" s="940"/>
      <c r="H80" s="940"/>
      <c r="I80" s="940"/>
      <c r="J80" s="940"/>
      <c r="K80" s="940"/>
      <c r="L80" s="940"/>
      <c r="M80" s="940"/>
      <c r="N80" s="940"/>
    </row>
    <row r="81" spans="2:14" ht="21" customHeight="1" x14ac:dyDescent="0.2">
      <c r="B81" s="938" t="s">
        <v>448</v>
      </c>
      <c r="C81" s="938"/>
      <c r="D81" s="938"/>
      <c r="E81" s="938"/>
      <c r="F81" s="938"/>
      <c r="G81" s="938"/>
      <c r="H81" s="938"/>
      <c r="I81" s="938"/>
      <c r="J81" s="938"/>
      <c r="K81" s="938"/>
      <c r="L81" s="938"/>
      <c r="M81" s="938"/>
      <c r="N81" s="938"/>
    </row>
    <row r="82" spans="2:14" ht="21" customHeight="1" x14ac:dyDescent="0.2">
      <c r="B82" s="173" t="s">
        <v>508</v>
      </c>
      <c r="C82" s="173"/>
      <c r="D82" s="173"/>
      <c r="E82" s="173"/>
      <c r="F82" s="173"/>
      <c r="G82" s="173"/>
      <c r="H82" s="173"/>
      <c r="I82" s="173"/>
      <c r="J82" s="173"/>
      <c r="K82" s="173"/>
      <c r="L82" s="173"/>
      <c r="M82" s="173"/>
      <c r="N82" s="173"/>
    </row>
  </sheetData>
  <mergeCells count="5">
    <mergeCell ref="B5:N5"/>
    <mergeCell ref="B79:N79"/>
    <mergeCell ref="B56:N56"/>
    <mergeCell ref="B80:N80"/>
    <mergeCell ref="B81:N81"/>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N2" location="'Cover '!A1" display="Back to Cover" xr:uid="{00000000-0004-0000-0300-000004000000}"/>
  </hyperlinks>
  <printOptions horizontalCentered="1" verticalCentered="1"/>
  <pageMargins left="0" right="0" top="0" bottom="0" header="0" footer="0"/>
  <pageSetup paperSize="8" scale="5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62"/>
  <sheetViews>
    <sheetView showGridLines="0" view="pageBreakPreview" zoomScale="85" zoomScaleNormal="90" zoomScaleSheetLayoutView="85" workbookViewId="0">
      <pane xSplit="2" ySplit="9" topLeftCell="E10" activePane="bottomRight" state="frozen"/>
      <selection activeCell="M28" sqref="M28"/>
      <selection pane="topRight" activeCell="M28" sqref="M28"/>
      <selection pane="bottomLeft" activeCell="M28" sqref="M28"/>
      <selection pane="bottomRight" activeCell="K48" sqref="K48:N48"/>
    </sheetView>
  </sheetViews>
  <sheetFormatPr defaultColWidth="9.140625" defaultRowHeight="15.75" x14ac:dyDescent="0.2"/>
  <cols>
    <col min="1" max="1" width="2.42578125" style="6" customWidth="1"/>
    <col min="2" max="2" width="83" style="6" customWidth="1"/>
    <col min="3" max="14" width="15.85546875" style="6" customWidth="1"/>
    <col min="15" max="15" width="2.42578125" style="6" customWidth="1"/>
    <col min="16" max="16384" width="9.140625" style="6"/>
  </cols>
  <sheetData>
    <row r="1" spans="1:17" ht="15.75" customHeight="1" x14ac:dyDescent="0.2"/>
    <row r="2" spans="1:17" ht="15.75" customHeight="1" x14ac:dyDescent="0.2">
      <c r="C2" s="8"/>
      <c r="D2" s="8"/>
      <c r="E2" s="8"/>
      <c r="F2" s="8"/>
      <c r="G2" s="8"/>
      <c r="H2" s="8"/>
      <c r="I2" s="8"/>
      <c r="J2" s="8"/>
      <c r="K2" s="123"/>
      <c r="L2" s="123"/>
      <c r="M2" s="123"/>
      <c r="N2" s="122" t="s">
        <v>20</v>
      </c>
    </row>
    <row r="3" spans="1:17" ht="15.75" customHeight="1" x14ac:dyDescent="0.2"/>
    <row r="4" spans="1:17" ht="15.75" customHeight="1" x14ac:dyDescent="0.2"/>
    <row r="5" spans="1:17" s="17" customFormat="1" ht="28.5" x14ac:dyDescent="0.2">
      <c r="A5" s="16"/>
      <c r="B5" s="937" t="s">
        <v>45</v>
      </c>
      <c r="C5" s="941"/>
      <c r="D5" s="941"/>
      <c r="E5" s="941"/>
      <c r="F5" s="941"/>
      <c r="G5" s="941"/>
      <c r="H5" s="941"/>
      <c r="I5" s="941"/>
      <c r="J5" s="941"/>
      <c r="K5" s="941"/>
      <c r="L5" s="941"/>
      <c r="M5" s="941"/>
      <c r="N5" s="941"/>
    </row>
    <row r="6" spans="1:17" s="17" customFormat="1" ht="9" customHeight="1" x14ac:dyDescent="0.2">
      <c r="A6" s="16"/>
      <c r="B6" s="18"/>
    </row>
    <row r="7" spans="1:17" s="17" customFormat="1" ht="15.75" customHeight="1" x14ac:dyDescent="0.2">
      <c r="A7" s="18"/>
      <c r="B7" s="21"/>
      <c r="Q7" s="55"/>
    </row>
    <row r="8" spans="1:17" ht="15" customHeight="1" x14ac:dyDescent="0.2"/>
    <row r="9" spans="1:17" s="7" customFormat="1" ht="33.75" customHeight="1" x14ac:dyDescent="0.2">
      <c r="B9" s="399" t="s">
        <v>0</v>
      </c>
      <c r="C9" s="400" t="s">
        <v>73</v>
      </c>
      <c r="D9" s="400" t="s">
        <v>132</v>
      </c>
      <c r="E9" s="400" t="s">
        <v>177</v>
      </c>
      <c r="F9" s="400" t="s">
        <v>183</v>
      </c>
      <c r="G9" s="400" t="s">
        <v>200</v>
      </c>
      <c r="H9" s="400" t="s">
        <v>203</v>
      </c>
      <c r="I9" s="400" t="s">
        <v>211</v>
      </c>
      <c r="J9" s="400" t="s">
        <v>333</v>
      </c>
      <c r="K9" s="400" t="s">
        <v>350</v>
      </c>
      <c r="L9" s="400" t="s">
        <v>450</v>
      </c>
      <c r="M9" s="401" t="s">
        <v>511</v>
      </c>
      <c r="N9" s="402" t="s">
        <v>549</v>
      </c>
    </row>
    <row r="10" spans="1:17" s="9" customFormat="1" ht="24.75" customHeight="1" x14ac:dyDescent="0.2">
      <c r="B10" s="151" t="s">
        <v>1</v>
      </c>
      <c r="C10" s="273">
        <v>285.89500000000004</v>
      </c>
      <c r="D10" s="273">
        <v>305.56799999999998</v>
      </c>
      <c r="E10" s="273">
        <v>330.59200000000004</v>
      </c>
      <c r="F10" s="273">
        <v>430.64700000000005</v>
      </c>
      <c r="G10" s="273">
        <v>446.86599999999999</v>
      </c>
      <c r="H10" s="273">
        <v>487.8</v>
      </c>
      <c r="I10" s="284">
        <v>531.351</v>
      </c>
      <c r="J10" s="273">
        <v>536.64499999999998</v>
      </c>
      <c r="K10" s="273">
        <v>517.62899999999991</v>
      </c>
      <c r="L10" s="284">
        <v>527.55799999999999</v>
      </c>
      <c r="M10" s="839">
        <v>529.50533123000014</v>
      </c>
      <c r="N10" s="362">
        <v>513.51499999999999</v>
      </c>
    </row>
    <row r="11" spans="1:17" s="9" customFormat="1" ht="24.75" customHeight="1" x14ac:dyDescent="0.2">
      <c r="B11" s="151" t="s">
        <v>457</v>
      </c>
      <c r="C11" s="273">
        <v>100.74703204926399</v>
      </c>
      <c r="D11" s="273">
        <v>105.097982314544</v>
      </c>
      <c r="E11" s="273">
        <v>107.80430564699201</v>
      </c>
      <c r="F11" s="273">
        <v>107.34067998919998</v>
      </c>
      <c r="G11" s="273">
        <v>104.691</v>
      </c>
      <c r="H11" s="273">
        <v>120.48399999999999</v>
      </c>
      <c r="I11" s="284">
        <v>120.30699999999999</v>
      </c>
      <c r="J11" s="273">
        <v>122.61599999999999</v>
      </c>
      <c r="K11" s="273">
        <v>125.37299999999999</v>
      </c>
      <c r="L11" s="284">
        <v>159.35300000000001</v>
      </c>
      <c r="M11" s="839">
        <v>134.57963081</v>
      </c>
      <c r="N11" s="362">
        <v>141.94399999999999</v>
      </c>
    </row>
    <row r="12" spans="1:17" s="9" customFormat="1" ht="24.75" customHeight="1" x14ac:dyDescent="0.2">
      <c r="B12" s="151" t="s">
        <v>347</v>
      </c>
      <c r="C12" s="273">
        <v>11.994999999999999</v>
      </c>
      <c r="D12" s="273">
        <v>15.875</v>
      </c>
      <c r="E12" s="273">
        <v>17.513000000000002</v>
      </c>
      <c r="F12" s="273">
        <v>18.486999999999998</v>
      </c>
      <c r="G12" s="273">
        <v>16.956</v>
      </c>
      <c r="H12" s="273">
        <v>20.922000000000001</v>
      </c>
      <c r="I12" s="284">
        <v>19.670000000000002</v>
      </c>
      <c r="J12" s="273">
        <v>20.99</v>
      </c>
      <c r="K12" s="273">
        <v>19.946999999999999</v>
      </c>
      <c r="L12" s="284">
        <v>19.885999999999999</v>
      </c>
      <c r="M12" s="839">
        <v>21.317130179999999</v>
      </c>
      <c r="N12" s="362">
        <v>25.41</v>
      </c>
    </row>
    <row r="13" spans="1:17" s="9" customFormat="1" ht="24.75" customHeight="1" x14ac:dyDescent="0.2">
      <c r="B13" s="432" t="s">
        <v>263</v>
      </c>
      <c r="C13" s="433">
        <f t="shared" ref="C13:D13" si="0">C11+C10+C12</f>
        <v>398.63703204926401</v>
      </c>
      <c r="D13" s="433">
        <f t="shared" si="0"/>
        <v>426.54098231454395</v>
      </c>
      <c r="E13" s="433">
        <f t="shared" ref="E13:I13" si="1">E11+E10+E12</f>
        <v>455.90930564699204</v>
      </c>
      <c r="F13" s="433">
        <f t="shared" si="1"/>
        <v>556.47467998920001</v>
      </c>
      <c r="G13" s="433">
        <f t="shared" si="1"/>
        <v>568.51300000000003</v>
      </c>
      <c r="H13" s="433">
        <f t="shared" si="1"/>
        <v>629.20600000000002</v>
      </c>
      <c r="I13" s="433">
        <f t="shared" si="1"/>
        <v>671.32799999999997</v>
      </c>
      <c r="J13" s="433">
        <f t="shared" ref="J13" si="2">J11+J10+J12</f>
        <v>680.25099999999998</v>
      </c>
      <c r="K13" s="433">
        <f t="shared" ref="K13" si="3">K11+K10+K12</f>
        <v>662.94899999999996</v>
      </c>
      <c r="L13" s="433">
        <f t="shared" ref="L13" si="4">L11+L10+L12</f>
        <v>706.79700000000003</v>
      </c>
      <c r="M13" s="434">
        <f t="shared" ref="M13:N13" si="5">M11+M10+M12</f>
        <v>685.40209222000021</v>
      </c>
      <c r="N13" s="435">
        <f t="shared" si="5"/>
        <v>680.86899999999991</v>
      </c>
    </row>
    <row r="14" spans="1:17" s="9" customFormat="1" ht="24.75" customHeight="1" x14ac:dyDescent="0.2">
      <c r="B14" s="151" t="s">
        <v>458</v>
      </c>
      <c r="C14" s="284">
        <v>585.38900000000001</v>
      </c>
      <c r="D14" s="284">
        <v>67.600000000000009</v>
      </c>
      <c r="E14" s="284">
        <v>64.161000000000001</v>
      </c>
      <c r="F14" s="284">
        <v>-3.6300000000000008</v>
      </c>
      <c r="G14" s="284">
        <v>9.7540000000000013</v>
      </c>
      <c r="H14" s="284">
        <v>29.241999999999997</v>
      </c>
      <c r="I14" s="284">
        <v>-7.8949999999999996</v>
      </c>
      <c r="J14" s="273">
        <v>31.995000000000001</v>
      </c>
      <c r="K14" s="273">
        <v>-4.4270000000000005</v>
      </c>
      <c r="L14" s="284">
        <v>7.47</v>
      </c>
      <c r="M14" s="839">
        <v>33.253386879999915</v>
      </c>
      <c r="N14" s="362">
        <v>28.351999999999997</v>
      </c>
    </row>
    <row r="15" spans="1:17" s="9" customFormat="1" ht="24.75" customHeight="1" x14ac:dyDescent="0.2">
      <c r="B15" s="151" t="s">
        <v>321</v>
      </c>
      <c r="C15" s="273">
        <v>-2.3609999999999998</v>
      </c>
      <c r="D15" s="273">
        <v>16.709</v>
      </c>
      <c r="E15" s="273">
        <v>-6.8050000000000006</v>
      </c>
      <c r="F15" s="273">
        <v>23.198</v>
      </c>
      <c r="G15" s="273">
        <v>-1.48</v>
      </c>
      <c r="H15" s="273">
        <v>3.5300000000000002</v>
      </c>
      <c r="I15" s="284">
        <v>-10.244999999999999</v>
      </c>
      <c r="J15" s="273">
        <v>9.7259999999999991</v>
      </c>
      <c r="K15" s="273">
        <v>-66.650999999999996</v>
      </c>
      <c r="L15" s="284">
        <v>11.755000000000001</v>
      </c>
      <c r="M15" s="839">
        <v>-9.9486770399999891</v>
      </c>
      <c r="N15" s="362">
        <v>20.843</v>
      </c>
    </row>
    <row r="16" spans="1:17" s="9" customFormat="1" ht="24.75" customHeight="1" x14ac:dyDescent="0.2">
      <c r="B16" s="432" t="s">
        <v>264</v>
      </c>
      <c r="C16" s="433">
        <f t="shared" ref="C16:G16" si="6">C15+C10+C11+C12+C14</f>
        <v>981.66503204926403</v>
      </c>
      <c r="D16" s="433">
        <f t="shared" si="6"/>
        <v>510.84998231454404</v>
      </c>
      <c r="E16" s="433">
        <f t="shared" si="6"/>
        <v>513.26530564699203</v>
      </c>
      <c r="F16" s="433">
        <f t="shared" si="6"/>
        <v>576.0426799892</v>
      </c>
      <c r="G16" s="433">
        <f t="shared" si="6"/>
        <v>576.78700000000003</v>
      </c>
      <c r="H16" s="433">
        <f t="shared" ref="H16:L16" si="7">H15+H10+H11+H12+H14</f>
        <v>661.97799999999995</v>
      </c>
      <c r="I16" s="433">
        <f t="shared" si="7"/>
        <v>653.18799999999999</v>
      </c>
      <c r="J16" s="433">
        <f t="shared" si="7"/>
        <v>721.97199999999998</v>
      </c>
      <c r="K16" s="433">
        <f t="shared" si="7"/>
        <v>591.87099999999987</v>
      </c>
      <c r="L16" s="433">
        <f t="shared" si="7"/>
        <v>726.02199999999993</v>
      </c>
      <c r="M16" s="434">
        <f t="shared" ref="M16:N16" si="8">M15+M10+M11+M12+M14</f>
        <v>708.70680206000009</v>
      </c>
      <c r="N16" s="435">
        <f t="shared" si="8"/>
        <v>730.06399999999985</v>
      </c>
      <c r="Q16" s="41"/>
    </row>
    <row r="17" spans="2:19" s="9" customFormat="1" ht="24.75" customHeight="1" x14ac:dyDescent="0.2">
      <c r="B17" s="436" t="s">
        <v>598</v>
      </c>
      <c r="C17" s="437">
        <v>7.0227117500000009</v>
      </c>
      <c r="D17" s="437">
        <v>-0.59334710000000002</v>
      </c>
      <c r="E17" s="437">
        <v>-0.10188483999999999</v>
      </c>
      <c r="F17" s="437">
        <v>-0.67009458999999993</v>
      </c>
      <c r="G17" s="437">
        <v>0</v>
      </c>
      <c r="H17" s="437">
        <v>0</v>
      </c>
      <c r="I17" s="437">
        <v>0</v>
      </c>
      <c r="J17" s="437">
        <v>0</v>
      </c>
      <c r="K17" s="437">
        <v>0</v>
      </c>
      <c r="L17" s="437">
        <v>11.949892</v>
      </c>
      <c r="M17" s="438">
        <v>0</v>
      </c>
      <c r="N17" s="439">
        <v>0</v>
      </c>
      <c r="Q17" s="41"/>
    </row>
    <row r="18" spans="2:19" s="9" customFormat="1" ht="24.75" customHeight="1" x14ac:dyDescent="0.2">
      <c r="B18" s="889" t="s">
        <v>600</v>
      </c>
      <c r="C18" s="890">
        <v>510.7</v>
      </c>
      <c r="D18" s="890">
        <v>109.277</v>
      </c>
      <c r="E18" s="890">
        <v>52</v>
      </c>
      <c r="F18" s="890">
        <v>0</v>
      </c>
      <c r="G18" s="890">
        <v>0</v>
      </c>
      <c r="H18" s="890">
        <v>0</v>
      </c>
      <c r="I18" s="890">
        <v>0</v>
      </c>
      <c r="J18" s="890">
        <v>0</v>
      </c>
      <c r="K18" s="890">
        <v>-43.292000000000002</v>
      </c>
      <c r="L18" s="890">
        <v>0</v>
      </c>
      <c r="M18" s="891">
        <v>0</v>
      </c>
      <c r="N18" s="892">
        <v>0</v>
      </c>
    </row>
    <row r="19" spans="2:19" s="9" customFormat="1" ht="24.75" customHeight="1" x14ac:dyDescent="0.2">
      <c r="B19" s="151" t="s">
        <v>2</v>
      </c>
      <c r="C19" s="273">
        <v>91.200999999999993</v>
      </c>
      <c r="D19" s="273">
        <v>101.155</v>
      </c>
      <c r="E19" s="273">
        <v>121.26600000000001</v>
      </c>
      <c r="F19" s="273">
        <v>131.95599999999999</v>
      </c>
      <c r="G19" s="273">
        <v>96.718999999999994</v>
      </c>
      <c r="H19" s="273">
        <v>96.57</v>
      </c>
      <c r="I19" s="284">
        <v>80.358000000000004</v>
      </c>
      <c r="J19" s="273">
        <v>168.495</v>
      </c>
      <c r="K19" s="273">
        <v>100.86799999999999</v>
      </c>
      <c r="L19" s="284">
        <v>100.80200000000001</v>
      </c>
      <c r="M19" s="839">
        <v>101.65485525</v>
      </c>
      <c r="N19" s="362">
        <v>151.71899999999999</v>
      </c>
    </row>
    <row r="20" spans="2:19" s="9" customFormat="1" ht="24.75" customHeight="1" x14ac:dyDescent="0.2">
      <c r="B20" s="151" t="s">
        <v>459</v>
      </c>
      <c r="C20" s="273">
        <v>81.31903204926401</v>
      </c>
      <c r="D20" s="273">
        <v>87.151982314544</v>
      </c>
      <c r="E20" s="273">
        <v>85.185305646991992</v>
      </c>
      <c r="F20" s="273">
        <v>83.882679989199985</v>
      </c>
      <c r="G20" s="273">
        <v>83.156999999999996</v>
      </c>
      <c r="H20" s="273">
        <v>78.429000000000002</v>
      </c>
      <c r="I20" s="284">
        <v>89.208000000000013</v>
      </c>
      <c r="J20" s="273">
        <v>64.234999999999999</v>
      </c>
      <c r="K20" s="273">
        <v>72.945999999999998</v>
      </c>
      <c r="L20" s="284">
        <v>73.254999999999995</v>
      </c>
      <c r="M20" s="839">
        <v>75.398843909999997</v>
      </c>
      <c r="N20" s="362">
        <v>81.564000000000007</v>
      </c>
    </row>
    <row r="21" spans="2:19" ht="24.75" customHeight="1" x14ac:dyDescent="0.2">
      <c r="B21" s="151" t="s">
        <v>8</v>
      </c>
      <c r="C21" s="273">
        <v>29.591999999999999</v>
      </c>
      <c r="D21" s="273">
        <v>24.890999999999998</v>
      </c>
      <c r="E21" s="273">
        <v>25.213000000000001</v>
      </c>
      <c r="F21" s="273">
        <v>25.965</v>
      </c>
      <c r="G21" s="273">
        <v>26.146999999999998</v>
      </c>
      <c r="H21" s="273">
        <v>26.212</v>
      </c>
      <c r="I21" s="284">
        <v>26.484999999999999</v>
      </c>
      <c r="J21" s="273">
        <v>27.077999999999999</v>
      </c>
      <c r="K21" s="273">
        <v>28.614999999999998</v>
      </c>
      <c r="L21" s="284">
        <v>29.193999999999999</v>
      </c>
      <c r="M21" s="839">
        <v>30.551236739999993</v>
      </c>
      <c r="N21" s="362">
        <v>30.558</v>
      </c>
    </row>
    <row r="22" spans="2:19" s="9" customFormat="1" ht="24.75" customHeight="1" x14ac:dyDescent="0.2">
      <c r="B22" s="432" t="s">
        <v>265</v>
      </c>
      <c r="C22" s="440">
        <f t="shared" ref="C22:F22" si="9">C21+C20+C19</f>
        <v>202.112032049264</v>
      </c>
      <c r="D22" s="440">
        <f t="shared" si="9"/>
        <v>213.19798231454399</v>
      </c>
      <c r="E22" s="440">
        <f t="shared" si="9"/>
        <v>231.66430564699198</v>
      </c>
      <c r="F22" s="440">
        <f t="shared" si="9"/>
        <v>241.80367998919996</v>
      </c>
      <c r="G22" s="440">
        <f t="shared" ref="G22" si="10">G21+G20+G19</f>
        <v>206.023</v>
      </c>
      <c r="H22" s="440">
        <f t="shared" ref="H22" si="11">H21+H20+H19</f>
        <v>201.21100000000001</v>
      </c>
      <c r="I22" s="440">
        <f t="shared" ref="I22:N22" si="12">I21+I20+I19</f>
        <v>196.05100000000002</v>
      </c>
      <c r="J22" s="440">
        <f t="shared" si="12"/>
        <v>259.80799999999999</v>
      </c>
      <c r="K22" s="440">
        <f t="shared" si="12"/>
        <v>202.42899999999997</v>
      </c>
      <c r="L22" s="440">
        <f t="shared" si="12"/>
        <v>203.251</v>
      </c>
      <c r="M22" s="441">
        <f t="shared" si="12"/>
        <v>207.60493589999999</v>
      </c>
      <c r="N22" s="442">
        <f t="shared" si="12"/>
        <v>263.84100000000001</v>
      </c>
      <c r="P22" s="40"/>
    </row>
    <row r="23" spans="2:19" s="9" customFormat="1" ht="24.75" customHeight="1" x14ac:dyDescent="0.2">
      <c r="B23" s="443" t="s">
        <v>165</v>
      </c>
      <c r="C23" s="444">
        <v>4.1472708799999998</v>
      </c>
      <c r="D23" s="444">
        <v>6.6</v>
      </c>
      <c r="E23" s="444">
        <v>19.877649999999999</v>
      </c>
      <c r="F23" s="444">
        <v>30.314</v>
      </c>
      <c r="G23" s="444">
        <v>3.1720000000000002</v>
      </c>
      <c r="H23" s="444">
        <v>2.1745070000000002</v>
      </c>
      <c r="I23" s="444">
        <v>1.5662459999999996</v>
      </c>
      <c r="J23" s="444">
        <v>63.649000000000001</v>
      </c>
      <c r="K23" s="444">
        <v>9.6033038800000003</v>
      </c>
      <c r="L23" s="444">
        <v>4.2904095</v>
      </c>
      <c r="M23" s="445">
        <v>1.837108</v>
      </c>
      <c r="N23" s="446">
        <v>38.653692239999998</v>
      </c>
    </row>
    <row r="24" spans="2:19" s="9" customFormat="1" ht="11.25" customHeight="1" x14ac:dyDescent="0.35">
      <c r="B24" s="384"/>
      <c r="C24" s="377"/>
      <c r="D24" s="377"/>
      <c r="E24" s="377"/>
      <c r="F24" s="377"/>
      <c r="G24" s="377"/>
      <c r="H24" s="377"/>
      <c r="I24" s="377"/>
      <c r="J24" s="377"/>
      <c r="K24" s="377"/>
      <c r="L24" s="377"/>
      <c r="M24" s="390"/>
      <c r="N24" s="385"/>
    </row>
    <row r="25" spans="2:19" s="9" customFormat="1" ht="24.75" customHeight="1" x14ac:dyDescent="0.2">
      <c r="B25" s="403" t="s">
        <v>266</v>
      </c>
      <c r="C25" s="404">
        <v>779.55300000000011</v>
      </c>
      <c r="D25" s="404">
        <v>297.65199999999999</v>
      </c>
      <c r="E25" s="404">
        <v>281.601</v>
      </c>
      <c r="F25" s="404">
        <v>334.23900000000003</v>
      </c>
      <c r="G25" s="404">
        <v>370.76400000000007</v>
      </c>
      <c r="H25" s="404">
        <v>460.76699999999994</v>
      </c>
      <c r="I25" s="404">
        <v>457.13700000000006</v>
      </c>
      <c r="J25" s="404">
        <v>462.16399999999999</v>
      </c>
      <c r="K25" s="404">
        <v>389.44199999999989</v>
      </c>
      <c r="L25" s="404">
        <v>522.77100000000007</v>
      </c>
      <c r="M25" s="405">
        <v>501.1018661600001</v>
      </c>
      <c r="N25" s="406">
        <v>466.22299999999996</v>
      </c>
    </row>
    <row r="26" spans="2:19" s="9" customFormat="1" ht="13.5" customHeight="1" x14ac:dyDescent="0.35">
      <c r="B26" s="392"/>
      <c r="C26" s="396"/>
      <c r="D26" s="396"/>
      <c r="E26" s="396"/>
      <c r="F26" s="396"/>
      <c r="G26" s="396"/>
      <c r="H26" s="396"/>
      <c r="I26" s="396"/>
      <c r="J26" s="396"/>
      <c r="K26" s="396"/>
      <c r="L26" s="396"/>
      <c r="M26" s="397"/>
      <c r="N26" s="398"/>
    </row>
    <row r="27" spans="2:19" s="9" customFormat="1" ht="24.75" customHeight="1" x14ac:dyDescent="0.2">
      <c r="B27" s="364" t="s">
        <v>3</v>
      </c>
      <c r="C27" s="273">
        <v>-4.4249999999999998</v>
      </c>
      <c r="D27" s="273">
        <v>-4.9989999999999997</v>
      </c>
      <c r="E27" s="273">
        <v>0.27700000000000002</v>
      </c>
      <c r="F27" s="273">
        <v>38.04</v>
      </c>
      <c r="G27" s="273">
        <v>-10.638999999999999</v>
      </c>
      <c r="H27" s="273">
        <v>-11.848000000000001</v>
      </c>
      <c r="I27" s="284">
        <v>15.715</v>
      </c>
      <c r="J27" s="273">
        <v>-8.4480000000000004</v>
      </c>
      <c r="K27" s="273">
        <v>22.515000000000001</v>
      </c>
      <c r="L27" s="284">
        <v>-12.048</v>
      </c>
      <c r="M27" s="839">
        <v>-4.3310000000000004</v>
      </c>
      <c r="N27" s="362">
        <v>-1.2849999999999999</v>
      </c>
      <c r="S27" s="40"/>
    </row>
    <row r="28" spans="2:19" s="9" customFormat="1" ht="24.75" customHeight="1" x14ac:dyDescent="0.2">
      <c r="B28" s="893" t="s">
        <v>185</v>
      </c>
      <c r="C28" s="894">
        <v>0</v>
      </c>
      <c r="D28" s="894">
        <v>0</v>
      </c>
      <c r="E28" s="894">
        <v>0</v>
      </c>
      <c r="F28" s="895">
        <v>25.8</v>
      </c>
      <c r="G28" s="895">
        <v>0</v>
      </c>
      <c r="H28" s="895">
        <v>0</v>
      </c>
      <c r="I28" s="895">
        <v>0</v>
      </c>
      <c r="J28" s="895">
        <v>0</v>
      </c>
      <c r="K28" s="895">
        <v>0</v>
      </c>
      <c r="L28" s="895">
        <v>0</v>
      </c>
      <c r="M28" s="896">
        <v>0</v>
      </c>
      <c r="N28" s="897">
        <v>0</v>
      </c>
    </row>
    <row r="29" spans="2:19" s="62" customFormat="1" ht="12" customHeight="1" x14ac:dyDescent="0.35">
      <c r="B29" s="392"/>
      <c r="C29" s="393"/>
      <c r="D29" s="393"/>
      <c r="E29" s="393"/>
      <c r="F29" s="393"/>
      <c r="G29" s="393"/>
      <c r="H29" s="393"/>
      <c r="I29" s="393"/>
      <c r="J29" s="393"/>
      <c r="K29" s="393"/>
      <c r="L29" s="393"/>
      <c r="M29" s="394"/>
      <c r="N29" s="395"/>
    </row>
    <row r="30" spans="2:19" s="19" customFormat="1" ht="24.75" customHeight="1" x14ac:dyDescent="0.2">
      <c r="B30" s="151" t="s">
        <v>29</v>
      </c>
      <c r="C30" s="273">
        <v>229.72899999999998</v>
      </c>
      <c r="D30" s="273">
        <v>190.24100000000001</v>
      </c>
      <c r="E30" s="273">
        <v>91.522999999999996</v>
      </c>
      <c r="F30" s="273">
        <v>103.126</v>
      </c>
      <c r="G30" s="273">
        <v>95.394000000000005</v>
      </c>
      <c r="H30" s="273">
        <v>283.02799999999996</v>
      </c>
      <c r="I30" s="284">
        <v>75.676999999999992</v>
      </c>
      <c r="J30" s="273">
        <v>104.504</v>
      </c>
      <c r="K30" s="273">
        <v>58.474000000000004</v>
      </c>
      <c r="L30" s="284">
        <v>43.260999999999996</v>
      </c>
      <c r="M30" s="839">
        <v>51.714784479999999</v>
      </c>
      <c r="N30" s="362">
        <v>127.18400000000001</v>
      </c>
    </row>
    <row r="31" spans="2:19" s="19" customFormat="1" ht="24.75" customHeight="1" x14ac:dyDescent="0.2">
      <c r="B31" s="386" t="s">
        <v>76</v>
      </c>
      <c r="C31" s="378">
        <v>44.036208999999992</v>
      </c>
      <c r="D31" s="378">
        <v>45.59800000000002</v>
      </c>
      <c r="E31" s="378">
        <v>44.684999999999988</v>
      </c>
      <c r="F31" s="378">
        <v>17.424000000000014</v>
      </c>
      <c r="G31" s="378">
        <v>35.677000000000007</v>
      </c>
      <c r="H31" s="378">
        <v>68.966475719999991</v>
      </c>
      <c r="I31" s="387">
        <v>47.152999999999992</v>
      </c>
      <c r="J31" s="378">
        <v>24.976000000000006</v>
      </c>
      <c r="K31" s="378">
        <v>15.423</v>
      </c>
      <c r="L31" s="387">
        <v>19.857999999999997</v>
      </c>
      <c r="M31" s="858">
        <v>31.755784480000003</v>
      </c>
      <c r="N31" s="431">
        <v>15.779000000000012</v>
      </c>
      <c r="R31" s="42"/>
    </row>
    <row r="32" spans="2:19" s="19" customFormat="1" ht="24.75" customHeight="1" x14ac:dyDescent="0.2">
      <c r="B32" s="386" t="s">
        <v>460</v>
      </c>
      <c r="C32" s="378">
        <v>151.6</v>
      </c>
      <c r="D32" s="378">
        <v>117.35</v>
      </c>
      <c r="E32" s="378">
        <v>18.381</v>
      </c>
      <c r="F32" s="378">
        <v>33.1</v>
      </c>
      <c r="G32" s="378">
        <v>20.760999999999999</v>
      </c>
      <c r="H32" s="378">
        <v>180.79911400999998</v>
      </c>
      <c r="I32" s="387">
        <v>0</v>
      </c>
      <c r="J32" s="378">
        <v>51.51</v>
      </c>
      <c r="K32" s="378">
        <v>12.14</v>
      </c>
      <c r="L32" s="387">
        <v>0</v>
      </c>
      <c r="M32" s="858">
        <v>0</v>
      </c>
      <c r="N32" s="431">
        <v>86.33</v>
      </c>
    </row>
    <row r="33" spans="2:19" s="19" customFormat="1" ht="24.75" customHeight="1" x14ac:dyDescent="0.2">
      <c r="B33" s="386" t="s">
        <v>353</v>
      </c>
      <c r="C33" s="378">
        <v>29.140056999999999</v>
      </c>
      <c r="D33" s="378">
        <v>21.292999999999999</v>
      </c>
      <c r="E33" s="378">
        <v>19.511053</v>
      </c>
      <c r="F33" s="378">
        <v>39.053965949999998</v>
      </c>
      <c r="G33" s="378">
        <v>26.088285000000003</v>
      </c>
      <c r="H33" s="378">
        <v>20.325688550000002</v>
      </c>
      <c r="I33" s="387">
        <v>17.27913315</v>
      </c>
      <c r="J33" s="378">
        <v>16.852737560000001</v>
      </c>
      <c r="K33" s="378">
        <v>20.556513000000002</v>
      </c>
      <c r="L33" s="387">
        <v>14.782999999999999</v>
      </c>
      <c r="M33" s="858">
        <v>11.299293</v>
      </c>
      <c r="N33" s="431">
        <v>15.120611999999999</v>
      </c>
      <c r="Q33" s="59"/>
    </row>
    <row r="34" spans="2:19" s="19" customFormat="1" ht="24.75" customHeight="1" x14ac:dyDescent="0.2">
      <c r="B34" s="386" t="s">
        <v>354</v>
      </c>
      <c r="C34" s="378">
        <v>4.9527340000000004</v>
      </c>
      <c r="D34" s="378">
        <v>6</v>
      </c>
      <c r="E34" s="378">
        <v>8.9459470000000003</v>
      </c>
      <c r="F34" s="378">
        <v>13.54803405</v>
      </c>
      <c r="G34" s="378">
        <v>12.867715</v>
      </c>
      <c r="H34" s="378">
        <v>12.93672172</v>
      </c>
      <c r="I34" s="387">
        <v>11.244866849999999</v>
      </c>
      <c r="J34" s="378">
        <v>11.165262439999999</v>
      </c>
      <c r="K34" s="378">
        <v>10.354487000000001</v>
      </c>
      <c r="L34" s="387">
        <v>8.6199999999999992</v>
      </c>
      <c r="M34" s="858">
        <v>8.6597069999999992</v>
      </c>
      <c r="N34" s="431">
        <v>9.9543879999999998</v>
      </c>
    </row>
    <row r="35" spans="2:19" s="19" customFormat="1" ht="24.75" customHeight="1" x14ac:dyDescent="0.2">
      <c r="B35" s="151" t="s">
        <v>461</v>
      </c>
      <c r="C35" s="273">
        <v>3.3130000000000011</v>
      </c>
      <c r="D35" s="273">
        <v>9.418000000000001</v>
      </c>
      <c r="E35" s="273">
        <v>19.056999999999999</v>
      </c>
      <c r="F35" s="273">
        <v>38.635000000000005</v>
      </c>
      <c r="G35" s="273">
        <v>10.359000000000002</v>
      </c>
      <c r="H35" s="273">
        <v>32.141000000000005</v>
      </c>
      <c r="I35" s="284">
        <v>17.818999999999996</v>
      </c>
      <c r="J35" s="273">
        <v>38.191000000000003</v>
      </c>
      <c r="K35" s="273">
        <v>28.539000000000001</v>
      </c>
      <c r="L35" s="284">
        <v>15.302</v>
      </c>
      <c r="M35" s="839">
        <v>12.436441019999997</v>
      </c>
      <c r="N35" s="362">
        <v>111.55799999999999</v>
      </c>
    </row>
    <row r="36" spans="2:19" s="19" customFormat="1" ht="24.75" customHeight="1" x14ac:dyDescent="0.2">
      <c r="B36" s="386" t="s">
        <v>590</v>
      </c>
      <c r="C36" s="378">
        <v>0</v>
      </c>
      <c r="D36" s="378">
        <v>0</v>
      </c>
      <c r="E36" s="378">
        <v>0</v>
      </c>
      <c r="F36" s="378">
        <v>0</v>
      </c>
      <c r="G36" s="378">
        <v>0</v>
      </c>
      <c r="H36" s="378">
        <v>0</v>
      </c>
      <c r="I36" s="387">
        <v>0</v>
      </c>
      <c r="J36" s="378">
        <v>0</v>
      </c>
      <c r="K36" s="378">
        <v>0</v>
      </c>
      <c r="L36" s="387">
        <v>0</v>
      </c>
      <c r="M36" s="858">
        <v>0</v>
      </c>
      <c r="N36" s="431">
        <v>88.600999999999999</v>
      </c>
    </row>
    <row r="37" spans="2:19" s="19" customFormat="1" ht="24.75" customHeight="1" x14ac:dyDescent="0.2">
      <c r="B37" s="432" t="s">
        <v>4</v>
      </c>
      <c r="C37" s="440">
        <v>542.08600000000013</v>
      </c>
      <c r="D37" s="440">
        <v>92.993999999999943</v>
      </c>
      <c r="E37" s="440">
        <v>171.298</v>
      </c>
      <c r="F37" s="440">
        <v>230.51800000000003</v>
      </c>
      <c r="G37" s="440">
        <v>254.37200000000004</v>
      </c>
      <c r="H37" s="440">
        <v>133.74999999999994</v>
      </c>
      <c r="I37" s="440">
        <v>379.35600000000005</v>
      </c>
      <c r="J37" s="440">
        <v>311.02099999999996</v>
      </c>
      <c r="K37" s="440">
        <v>324.9439999999999</v>
      </c>
      <c r="L37" s="440">
        <v>452.16000000000008</v>
      </c>
      <c r="M37" s="441">
        <v>432.61964066000007</v>
      </c>
      <c r="N37" s="442">
        <v>226.19599999999991</v>
      </c>
      <c r="Q37" s="59"/>
      <c r="S37" s="59"/>
    </row>
    <row r="38" spans="2:19" s="63" customFormat="1" ht="24.75" customHeight="1" x14ac:dyDescent="0.2">
      <c r="B38" s="151" t="s">
        <v>7</v>
      </c>
      <c r="C38" s="273">
        <v>22.04</v>
      </c>
      <c r="D38" s="273">
        <v>0.28899999999999998</v>
      </c>
      <c r="E38" s="273">
        <v>55.845999999999997</v>
      </c>
      <c r="F38" s="273">
        <v>61.52</v>
      </c>
      <c r="G38" s="273">
        <v>75.64</v>
      </c>
      <c r="H38" s="273">
        <v>14.627000000000001</v>
      </c>
      <c r="I38" s="284">
        <v>102.38800000000001</v>
      </c>
      <c r="J38" s="273">
        <v>99.454999999999998</v>
      </c>
      <c r="K38" s="273">
        <v>91.998000000000005</v>
      </c>
      <c r="L38" s="284">
        <v>120.983</v>
      </c>
      <c r="M38" s="839">
        <v>114.39580782999995</v>
      </c>
      <c r="N38" s="362">
        <v>42.829000000000001</v>
      </c>
      <c r="S38" s="87"/>
    </row>
    <row r="39" spans="2:19" s="63" customFormat="1" ht="24.75" customHeight="1" x14ac:dyDescent="0.2">
      <c r="B39" s="447" t="s">
        <v>462</v>
      </c>
      <c r="C39" s="448">
        <v>46.828745373799997</v>
      </c>
      <c r="D39" s="448">
        <v>28.147690246</v>
      </c>
      <c r="E39" s="448">
        <v>40.991219058400013</v>
      </c>
      <c r="F39" s="448">
        <v>69.888544593399999</v>
      </c>
      <c r="G39" s="448">
        <v>75.64</v>
      </c>
      <c r="H39" s="448">
        <v>79.180905252499997</v>
      </c>
      <c r="I39" s="448">
        <v>102.38800000000001</v>
      </c>
      <c r="J39" s="448">
        <v>99.454999999999998</v>
      </c>
      <c r="K39" s="448">
        <v>110.8582381252</v>
      </c>
      <c r="L39" s="448">
        <v>118.76175007500001</v>
      </c>
      <c r="M39" s="449">
        <v>114.92856914999996</v>
      </c>
      <c r="N39" s="450">
        <v>104.7685607496</v>
      </c>
    </row>
    <row r="40" spans="2:19" s="63" customFormat="1" ht="24.75" customHeight="1" x14ac:dyDescent="0.2">
      <c r="B40" s="388" t="s">
        <v>267</v>
      </c>
      <c r="C40" s="273">
        <v>-1.2170000000000001</v>
      </c>
      <c r="D40" s="273">
        <v>0.24299999999999999</v>
      </c>
      <c r="E40" s="273">
        <v>-0.19400000000000001</v>
      </c>
      <c r="F40" s="273">
        <v>-0.56399999999999995</v>
      </c>
      <c r="G40" s="273">
        <v>-1.0289999999999999</v>
      </c>
      <c r="H40" s="273">
        <v>-0.56000000000000005</v>
      </c>
      <c r="I40" s="284">
        <v>-0.41099999999999998</v>
      </c>
      <c r="J40" s="273">
        <v>0.32400000000000001</v>
      </c>
      <c r="K40" s="273">
        <v>-0.186</v>
      </c>
      <c r="L40" s="284">
        <v>1.17</v>
      </c>
      <c r="M40" s="839">
        <v>-0.1746048999999999</v>
      </c>
      <c r="N40" s="362">
        <v>-0.97</v>
      </c>
    </row>
    <row r="41" spans="2:19" ht="24.75" customHeight="1" x14ac:dyDescent="0.2">
      <c r="B41" s="407" t="s">
        <v>268</v>
      </c>
      <c r="C41" s="408">
        <v>521.26300000000015</v>
      </c>
      <c r="D41" s="408">
        <v>92.461999999999946</v>
      </c>
      <c r="E41" s="408">
        <v>115.646</v>
      </c>
      <c r="F41" s="408">
        <v>169.56200000000001</v>
      </c>
      <c r="G41" s="408">
        <v>179.76100000000002</v>
      </c>
      <c r="H41" s="408">
        <v>119.68299999999995</v>
      </c>
      <c r="I41" s="408">
        <v>277.37900000000008</v>
      </c>
      <c r="J41" s="408">
        <v>211.24199999999996</v>
      </c>
      <c r="K41" s="408">
        <v>233.13199999999992</v>
      </c>
      <c r="L41" s="408">
        <v>330.00700000000006</v>
      </c>
      <c r="M41" s="409">
        <v>318.39843773000013</v>
      </c>
      <c r="N41" s="410">
        <v>184.3369999999999</v>
      </c>
    </row>
    <row r="42" spans="2:19" ht="24.75" customHeight="1" x14ac:dyDescent="0.2">
      <c r="B42" s="411" t="s">
        <v>168</v>
      </c>
      <c r="C42" s="412">
        <f t="shared" ref="C42:E42" si="13">+(C41-52.5/4)/1250.367223</f>
        <v>0.40639101109898507</v>
      </c>
      <c r="D42" s="412">
        <f t="shared" si="13"/>
        <v>6.345095947864586E-2</v>
      </c>
      <c r="E42" s="412">
        <f t="shared" si="13"/>
        <v>8.1992712312165275E-2</v>
      </c>
      <c r="F42" s="412">
        <f t="shared" ref="F42" si="14">+(F41-52.5/4)/1250.367223</f>
        <v>0.12511284454870905</v>
      </c>
      <c r="G42" s="412">
        <f>+(G41-52.5/4)/1249.995345</f>
        <v>0.13330929644381997</v>
      </c>
      <c r="H42" s="412">
        <f>+(H41-52.5/4)/1249.341331</f>
        <v>8.5291343010887671E-2</v>
      </c>
      <c r="I42" s="412">
        <f>+(I41-52.5/4)/1243.96483</f>
        <v>0.21242883530718476</v>
      </c>
      <c r="J42" s="412">
        <f>+(J41-52.5/4)/1245.122198</f>
        <v>0.15911450323368179</v>
      </c>
      <c r="K42" s="412">
        <f>+(K41-52.5/4)/1245.893686</f>
        <v>0.17658569304283314</v>
      </c>
      <c r="L42" s="412">
        <f>+(L41-52.5/4)/1245.212023</f>
        <v>0.25448035687654136</v>
      </c>
      <c r="M42" s="413">
        <f>+(M41-52.5/4)/1246.622609</f>
        <v>0.24488039565950157</v>
      </c>
      <c r="N42" s="414">
        <f>+(N41-52.5/4)/1246.037681</f>
        <v>0.13740515444331888</v>
      </c>
    </row>
    <row r="43" spans="2:19" ht="24.75" customHeight="1" x14ac:dyDescent="0.2">
      <c r="B43" s="451" t="s">
        <v>269</v>
      </c>
      <c r="C43" s="452">
        <v>-0.84699999999999998</v>
      </c>
      <c r="D43" s="452">
        <v>-0.48899999999999999</v>
      </c>
      <c r="E43" s="452">
        <v>52.72</v>
      </c>
      <c r="F43" s="452">
        <v>-0.82199999999999995</v>
      </c>
      <c r="G43" s="452">
        <v>0</v>
      </c>
      <c r="H43" s="452">
        <v>0</v>
      </c>
      <c r="I43" s="452">
        <v>0</v>
      </c>
      <c r="J43" s="452">
        <v>0</v>
      </c>
      <c r="K43" s="452">
        <v>0</v>
      </c>
      <c r="L43" s="452">
        <v>0</v>
      </c>
      <c r="M43" s="453">
        <v>0</v>
      </c>
      <c r="N43" s="454">
        <v>0</v>
      </c>
    </row>
    <row r="44" spans="2:19" ht="24.75" customHeight="1" x14ac:dyDescent="0.2">
      <c r="B44" s="455" t="s">
        <v>270</v>
      </c>
      <c r="C44" s="456">
        <v>0</v>
      </c>
      <c r="D44" s="456">
        <v>0</v>
      </c>
      <c r="E44" s="456">
        <v>0</v>
      </c>
      <c r="F44" s="456">
        <v>0</v>
      </c>
      <c r="G44" s="456">
        <v>0</v>
      </c>
      <c r="H44" s="456">
        <v>0</v>
      </c>
      <c r="I44" s="456">
        <v>0</v>
      </c>
      <c r="J44" s="456">
        <v>0</v>
      </c>
      <c r="K44" s="456">
        <v>0</v>
      </c>
      <c r="L44" s="456">
        <v>0</v>
      </c>
      <c r="M44" s="457">
        <v>0</v>
      </c>
      <c r="N44" s="458">
        <v>0</v>
      </c>
    </row>
    <row r="45" spans="2:19" ht="11.25" customHeight="1" x14ac:dyDescent="0.2">
      <c r="B45" s="361"/>
      <c r="C45" s="318"/>
      <c r="D45" s="318"/>
      <c r="E45" s="318"/>
      <c r="F45" s="318"/>
      <c r="G45" s="318"/>
      <c r="H45" s="318"/>
      <c r="I45" s="318"/>
      <c r="J45" s="318"/>
      <c r="K45" s="318"/>
      <c r="L45" s="318"/>
      <c r="M45" s="391"/>
      <c r="N45" s="389"/>
    </row>
    <row r="46" spans="2:19" ht="27" customHeight="1" x14ac:dyDescent="0.2">
      <c r="B46" s="415" t="s">
        <v>243</v>
      </c>
      <c r="C46" s="416">
        <f>+C41+C32+C23-C15-C17-C14+C38-C39</f>
        <v>62.170813756200111</v>
      </c>
      <c r="D46" s="416">
        <f t="shared" ref="D46:E46" si="15">+D41+D32+D23-D15-D17-D14+D38-D39</f>
        <v>104.8376568539999</v>
      </c>
      <c r="E46" s="416">
        <f t="shared" si="15"/>
        <v>111.50531578159996</v>
      </c>
      <c r="F46" s="416">
        <f>+F41+F32+F23-F15-F17-F14+F38-F39-F28</f>
        <v>179.90954999659994</v>
      </c>
      <c r="G46" s="416">
        <f>+G41+G32+G23-G15-G17-G14</f>
        <v>195.42000000000002</v>
      </c>
      <c r="H46" s="416">
        <f t="shared" ref="H46:L46" si="16">+H41+H32+H23-H15-H17-H28-H39+H38-H14</f>
        <v>205.33071575749997</v>
      </c>
      <c r="I46" s="416">
        <f t="shared" si="16"/>
        <v>297.08524600000004</v>
      </c>
      <c r="J46" s="416">
        <f t="shared" si="16"/>
        <v>284.67999999999995</v>
      </c>
      <c r="K46" s="416">
        <f t="shared" si="16"/>
        <v>307.09306575479997</v>
      </c>
      <c r="L46" s="416">
        <f t="shared" si="16"/>
        <v>305.34376742500007</v>
      </c>
      <c r="M46" s="417">
        <f>+M41+M32+M23-M15-M17-M28-M39+M38-M14</f>
        <v>296.39807457000018</v>
      </c>
      <c r="N46" s="418">
        <f>+N41+N32+N36+N23-N15-N17-N28-N39+N38-N14</f>
        <v>286.78713149039993</v>
      </c>
    </row>
    <row r="47" spans="2:19" ht="27" customHeight="1" x14ac:dyDescent="0.2">
      <c r="B47" s="419" t="s">
        <v>166</v>
      </c>
      <c r="C47" s="420">
        <f t="shared" ref="C47:E47" si="17">+(C46-52.5/4)/1250.367223</f>
        <v>3.9225127509760475E-2</v>
      </c>
      <c r="D47" s="420">
        <f t="shared" si="17"/>
        <v>7.3348577255531511E-2</v>
      </c>
      <c r="E47" s="420">
        <f t="shared" si="17"/>
        <v>7.8681137806505E-2</v>
      </c>
      <c r="F47" s="420">
        <f t="shared" ref="F47" si="18">+(F46-52.5/4)/1250.367223</f>
        <v>0.13338845335087607</v>
      </c>
      <c r="G47" s="420">
        <f>+(G46-52.5/4)/1249.995345</f>
        <v>0.14583654309528649</v>
      </c>
      <c r="H47" s="420">
        <f>+(H46-52.5/4)/1249.341331</f>
        <v>0.1538456392887077</v>
      </c>
      <c r="I47" s="420">
        <f>+(I46-52.5/4)/1243.96483</f>
        <v>0.22827031693492497</v>
      </c>
      <c r="J47" s="420">
        <f>+(J46-52.5/4)/1245.122198</f>
        <v>0.21809505961438166</v>
      </c>
      <c r="K47" s="420">
        <f>+(K46-52.5/4)/1245.893686</f>
        <v>0.23594955898572553</v>
      </c>
      <c r="L47" s="420">
        <f>+(L46-52.5/4)/1245.212023</f>
        <v>0.23467390454597309</v>
      </c>
      <c r="M47" s="421">
        <f>+(M46-52.5/4)/1246.622609</f>
        <v>0.22723242184515857</v>
      </c>
      <c r="N47" s="422">
        <f>+(N46-52.5/4)/1246.037681</f>
        <v>0.21962588745371972</v>
      </c>
    </row>
    <row r="48" spans="2:19" ht="27" customHeight="1" x14ac:dyDescent="0.2">
      <c r="B48" s="423" t="s">
        <v>463</v>
      </c>
      <c r="C48" s="424">
        <f t="shared" ref="C48:G48" si="19">+C46+C15-C18+C14</f>
        <v>134.49881375620015</v>
      </c>
      <c r="D48" s="424">
        <f t="shared" si="19"/>
        <v>79.869656853999913</v>
      </c>
      <c r="E48" s="424">
        <f t="shared" si="19"/>
        <v>116.86131578159996</v>
      </c>
      <c r="F48" s="424">
        <f t="shared" si="19"/>
        <v>199.47754999659995</v>
      </c>
      <c r="G48" s="424">
        <f t="shared" si="19"/>
        <v>203.69400000000002</v>
      </c>
      <c r="H48" s="424">
        <f t="shared" ref="H48:K48" si="20">+H46+H15-H18+H14</f>
        <v>238.10271575749996</v>
      </c>
      <c r="I48" s="424">
        <f t="shared" si="20"/>
        <v>278.94524600000005</v>
      </c>
      <c r="J48" s="424">
        <f t="shared" si="20"/>
        <v>326.40099999999995</v>
      </c>
      <c r="K48" s="424">
        <f t="shared" si="20"/>
        <v>279.30706575479996</v>
      </c>
      <c r="L48" s="424">
        <f>+L46+L15-L18+L14</f>
        <v>324.56876742500009</v>
      </c>
      <c r="M48" s="425">
        <f t="shared" ref="M48" si="21">+M46+M15-M18+M14</f>
        <v>319.70278441000011</v>
      </c>
      <c r="N48" s="426">
        <f>+N46+N15-N18+N14</f>
        <v>335.98213149039992</v>
      </c>
    </row>
    <row r="49" spans="2:15" ht="27" customHeight="1" x14ac:dyDescent="0.2">
      <c r="B49" s="427" t="s">
        <v>167</v>
      </c>
      <c r="C49" s="428">
        <f>+(C48-52.5/4)/1250.367223</f>
        <v>9.7070533778859422E-2</v>
      </c>
      <c r="D49" s="428">
        <f t="shared" ref="D49:E49" si="22">+(D48-52.5/4)/1250.367223</f>
        <v>5.3380043579405241E-2</v>
      </c>
      <c r="E49" s="428">
        <f t="shared" si="22"/>
        <v>8.2964679394510937E-2</v>
      </c>
      <c r="F49" s="428">
        <f t="shared" ref="F49" si="23">+(F48-52.5/4)/1250.367223</f>
        <v>0.14903825577695901</v>
      </c>
      <c r="G49" s="428">
        <f>+(G48-52.5/4)/1249.995345</f>
        <v>0.15245576774527908</v>
      </c>
      <c r="H49" s="428">
        <f>+(H48-52.5/4)/1249.341331</f>
        <v>0.18007706154844241</v>
      </c>
      <c r="I49" s="428">
        <f>+(I48-52.5/4)/1243.96483</f>
        <v>0.21368791109632904</v>
      </c>
      <c r="J49" s="428">
        <f>+(J48-52.5/4)/1245.122198</f>
        <v>0.25160261418775215</v>
      </c>
      <c r="K49" s="428">
        <f>+(K48-52.5/4)/1245.893686</f>
        <v>0.21364749556552451</v>
      </c>
      <c r="L49" s="428">
        <f>+(L48-52.5/4)/1245.212023</f>
        <v>0.25011304233528114</v>
      </c>
      <c r="M49" s="429">
        <f>+(M48-52.5/4)/1246.622609</f>
        <v>0.24592670002666389</v>
      </c>
      <c r="N49" s="430">
        <f>+(N48-52.5/4)/1246.037681</f>
        <v>0.25910703698085025</v>
      </c>
    </row>
    <row r="50" spans="2:15" ht="11.25" customHeight="1" x14ac:dyDescent="0.2">
      <c r="B50" s="318"/>
      <c r="C50" s="318"/>
      <c r="D50" s="318"/>
      <c r="E50" s="318"/>
      <c r="F50" s="318"/>
      <c r="G50" s="318"/>
      <c r="H50" s="318"/>
      <c r="I50" s="318"/>
      <c r="J50" s="318"/>
      <c r="K50" s="318"/>
      <c r="L50" s="318"/>
      <c r="M50" s="318"/>
      <c r="N50" s="318"/>
    </row>
    <row r="51" spans="2:15" ht="31.5" customHeight="1" x14ac:dyDescent="0.2">
      <c r="B51" s="942" t="s">
        <v>338</v>
      </c>
      <c r="C51" s="942"/>
      <c r="D51" s="942"/>
      <c r="E51" s="942"/>
      <c r="F51" s="942"/>
      <c r="G51" s="942"/>
      <c r="H51" s="942"/>
      <c r="I51" s="942"/>
      <c r="J51" s="942"/>
      <c r="K51" s="379"/>
      <c r="L51" s="379"/>
      <c r="M51" s="379"/>
      <c r="N51" s="380"/>
    </row>
    <row r="52" spans="2:15" ht="21.75" customHeight="1" x14ac:dyDescent="0.2">
      <c r="B52" s="172" t="s">
        <v>348</v>
      </c>
      <c r="C52" s="381"/>
      <c r="D52" s="379"/>
      <c r="E52" s="379"/>
      <c r="F52" s="379"/>
      <c r="G52" s="379"/>
      <c r="H52" s="382"/>
      <c r="I52" s="382"/>
      <c r="J52" s="382"/>
      <c r="K52" s="382"/>
      <c r="L52" s="382"/>
      <c r="M52" s="382"/>
      <c r="N52" s="382"/>
    </row>
    <row r="53" spans="2:15" ht="21.75" customHeight="1" x14ac:dyDescent="0.2">
      <c r="B53" s="383" t="s">
        <v>599</v>
      </c>
      <c r="C53" s="379"/>
      <c r="D53" s="379"/>
      <c r="E53" s="379"/>
      <c r="F53" s="379"/>
      <c r="G53" s="379"/>
      <c r="H53" s="382"/>
      <c r="I53" s="382"/>
      <c r="J53" s="382"/>
      <c r="K53" s="382"/>
      <c r="L53" s="382"/>
      <c r="M53" s="382"/>
      <c r="N53" s="382"/>
    </row>
    <row r="54" spans="2:15" ht="21.75" customHeight="1" x14ac:dyDescent="0.2">
      <c r="B54" s="383" t="s">
        <v>527</v>
      </c>
      <c r="C54" s="383"/>
      <c r="D54" s="379"/>
      <c r="E54" s="379"/>
      <c r="F54" s="379"/>
      <c r="G54" s="379"/>
      <c r="H54" s="382"/>
      <c r="I54" s="382"/>
      <c r="J54" s="382"/>
      <c r="K54" s="382"/>
      <c r="L54" s="382"/>
      <c r="M54" s="382"/>
      <c r="N54" s="382"/>
    </row>
    <row r="55" spans="2:15" ht="21.75" customHeight="1" x14ac:dyDescent="0.2">
      <c r="B55" s="383" t="s">
        <v>601</v>
      </c>
      <c r="C55" s="383"/>
      <c r="D55" s="382"/>
      <c r="E55" s="382"/>
      <c r="F55" s="382"/>
      <c r="G55" s="382"/>
      <c r="H55" s="382"/>
      <c r="I55" s="382"/>
      <c r="J55" s="382"/>
      <c r="K55" s="382"/>
      <c r="L55" s="382"/>
      <c r="M55" s="382"/>
      <c r="N55" s="382"/>
    </row>
    <row r="56" spans="2:15" ht="30.75" customHeight="1" x14ac:dyDescent="0.2">
      <c r="B56" s="942" t="s">
        <v>602</v>
      </c>
      <c r="C56" s="942"/>
      <c r="D56" s="942"/>
      <c r="E56" s="942"/>
      <c r="F56" s="942"/>
      <c r="G56" s="942"/>
      <c r="H56" s="942"/>
      <c r="I56" s="942"/>
      <c r="J56" s="942"/>
      <c r="K56" s="379"/>
      <c r="L56" s="379"/>
      <c r="M56" s="379"/>
      <c r="N56" s="382"/>
    </row>
    <row r="57" spans="2:15" ht="20.25" customHeight="1" x14ac:dyDescent="0.2">
      <c r="B57" s="379" t="s">
        <v>530</v>
      </c>
      <c r="C57" s="379"/>
      <c r="D57" s="379"/>
      <c r="E57" s="379"/>
      <c r="F57" s="379"/>
      <c r="G57" s="379"/>
      <c r="H57" s="379"/>
      <c r="I57" s="379"/>
      <c r="J57" s="379"/>
      <c r="K57" s="379"/>
      <c r="L57" s="379"/>
      <c r="M57" s="379"/>
      <c r="N57" s="382"/>
    </row>
    <row r="58" spans="2:15" ht="19.5" customHeight="1" x14ac:dyDescent="0.2">
      <c r="B58" s="124" t="s">
        <v>317</v>
      </c>
      <c r="C58" s="318"/>
      <c r="D58" s="318"/>
      <c r="E58" s="318"/>
      <c r="F58" s="318"/>
      <c r="G58" s="318"/>
      <c r="H58" s="318"/>
      <c r="I58" s="318"/>
      <c r="J58" s="318"/>
      <c r="K58" s="318"/>
      <c r="L58" s="318"/>
      <c r="M58" s="318"/>
      <c r="N58" s="318"/>
    </row>
    <row r="59" spans="2:15" ht="7.5" customHeight="1" x14ac:dyDescent="0.2">
      <c r="C59" s="51"/>
      <c r="D59" s="51"/>
      <c r="E59" s="51"/>
      <c r="F59" s="51"/>
      <c r="G59" s="51"/>
      <c r="H59" s="51"/>
      <c r="I59" s="51"/>
      <c r="J59" s="51"/>
      <c r="K59" s="51"/>
      <c r="L59" s="51"/>
      <c r="M59" s="51"/>
      <c r="N59" s="51"/>
    </row>
    <row r="61" spans="2:15" x14ac:dyDescent="0.2">
      <c r="C61" s="1"/>
      <c r="D61" s="1"/>
      <c r="E61" s="1"/>
      <c r="F61" s="1"/>
      <c r="G61" s="1"/>
      <c r="H61" s="1"/>
      <c r="I61" s="1"/>
      <c r="J61" s="1"/>
      <c r="K61" s="1"/>
      <c r="L61" s="1"/>
      <c r="M61" s="1"/>
      <c r="N61" s="1"/>
    </row>
    <row r="62" spans="2:15" x14ac:dyDescent="0.2">
      <c r="C62" s="51"/>
      <c r="D62" s="51"/>
      <c r="E62" s="51"/>
      <c r="F62" s="51"/>
      <c r="G62" s="51"/>
      <c r="H62" s="51"/>
      <c r="I62" s="51"/>
      <c r="J62" s="51"/>
      <c r="K62" s="51"/>
      <c r="L62" s="51"/>
      <c r="M62" s="51"/>
      <c r="N62" s="51"/>
      <c r="O62" s="51"/>
    </row>
  </sheetData>
  <mergeCells count="3">
    <mergeCell ref="B5:N5"/>
    <mergeCell ref="B51:J51"/>
    <mergeCell ref="B56:J56"/>
  </mergeCells>
  <hyperlinks>
    <hyperlink ref="N2" location="'Cover '!A1" display="Back to Cover" xr:uid="{00000000-0004-0000-0200-000000000000}"/>
  </hyperlinks>
  <printOptions horizontalCentered="1" verticalCentered="1"/>
  <pageMargins left="0" right="0" top="0" bottom="0" header="0" footer="0"/>
  <pageSetup paperSize="8" scale="59" orientation="landscape" r:id="rId1"/>
  <headerFooter alignWithMargins="0"/>
  <ignoredErrors>
    <ignoredError sqref="C48:N4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S52"/>
  <sheetViews>
    <sheetView showGridLines="0" view="pageBreakPreview" topLeftCell="A6" zoomScale="80" zoomScaleNormal="90" zoomScaleSheetLayoutView="80" workbookViewId="0">
      <selection activeCell="L31" sqref="L31"/>
    </sheetView>
  </sheetViews>
  <sheetFormatPr defaultColWidth="9.140625" defaultRowHeight="15.75" x14ac:dyDescent="0.2"/>
  <cols>
    <col min="1" max="1" width="2.42578125" style="6" customWidth="1"/>
    <col min="2" max="2" width="52.7109375" style="6" customWidth="1"/>
    <col min="3" max="14" width="15.85546875" style="6" customWidth="1"/>
    <col min="15" max="15" width="2.42578125" style="6" customWidth="1"/>
    <col min="16" max="16" width="9.140625" style="6"/>
    <col min="17" max="17" width="9.5703125" style="6" bestFit="1" customWidth="1"/>
    <col min="18" max="16384" width="9.140625" style="6"/>
  </cols>
  <sheetData>
    <row r="1" spans="1:19" ht="15.75" customHeight="1" x14ac:dyDescent="0.2"/>
    <row r="2" spans="1:19" ht="15.75" customHeight="1" x14ac:dyDescent="0.2">
      <c r="B2" s="120"/>
      <c r="C2" s="123"/>
      <c r="D2" s="123"/>
      <c r="E2" s="123"/>
      <c r="F2" s="123"/>
      <c r="G2" s="123"/>
      <c r="H2" s="123"/>
      <c r="I2" s="123"/>
      <c r="J2" s="123"/>
      <c r="K2" s="123"/>
      <c r="L2" s="123"/>
      <c r="M2" s="123"/>
      <c r="N2" s="122" t="s">
        <v>20</v>
      </c>
    </row>
    <row r="3" spans="1:19" ht="15.75" customHeight="1" x14ac:dyDescent="0.2">
      <c r="B3" s="120"/>
      <c r="C3" s="120"/>
      <c r="D3" s="120"/>
      <c r="E3" s="120"/>
      <c r="F3" s="120"/>
      <c r="G3" s="120"/>
      <c r="H3" s="120"/>
      <c r="I3" s="120"/>
      <c r="J3" s="120"/>
      <c r="K3" s="120"/>
      <c r="L3" s="120"/>
      <c r="M3" s="120"/>
      <c r="N3" s="120"/>
    </row>
    <row r="4" spans="1:19" ht="15.75" customHeight="1" x14ac:dyDescent="0.2">
      <c r="B4" s="120"/>
      <c r="C4" s="120"/>
      <c r="D4" s="120"/>
      <c r="E4" s="120"/>
      <c r="F4" s="120"/>
      <c r="G4" s="120"/>
      <c r="H4" s="120"/>
      <c r="I4" s="120"/>
      <c r="J4" s="120"/>
      <c r="K4" s="120"/>
      <c r="L4" s="120"/>
      <c r="M4" s="120"/>
      <c r="N4" s="120"/>
    </row>
    <row r="5" spans="1:19" s="17" customFormat="1" ht="28.5" x14ac:dyDescent="0.2">
      <c r="A5" s="16"/>
      <c r="B5" s="937" t="s">
        <v>123</v>
      </c>
      <c r="C5" s="941"/>
      <c r="D5" s="941"/>
      <c r="E5" s="941"/>
      <c r="F5" s="941"/>
      <c r="G5" s="941"/>
      <c r="H5" s="941"/>
      <c r="I5" s="941"/>
      <c r="J5" s="941"/>
      <c r="K5" s="941"/>
      <c r="L5" s="941"/>
      <c r="M5" s="941"/>
      <c r="N5" s="941"/>
    </row>
    <row r="6" spans="1:19" s="17" customFormat="1" ht="9" customHeight="1" x14ac:dyDescent="0.2">
      <c r="A6" s="16"/>
      <c r="B6" s="18"/>
    </row>
    <row r="7" spans="1:19" s="17" customFormat="1" ht="15.75" customHeight="1" x14ac:dyDescent="0.2">
      <c r="A7" s="18"/>
      <c r="B7" s="21"/>
    </row>
    <row r="8" spans="1:19" ht="15" customHeight="1" x14ac:dyDescent="0.2">
      <c r="J8" s="816"/>
      <c r="K8" s="816"/>
      <c r="L8" s="816"/>
      <c r="M8" s="816"/>
      <c r="N8" s="816"/>
    </row>
    <row r="9" spans="1:19" s="7" customFormat="1" ht="33.75" customHeight="1" x14ac:dyDescent="0.2">
      <c r="B9" s="399" t="s">
        <v>0</v>
      </c>
      <c r="C9" s="400" t="s">
        <v>73</v>
      </c>
      <c r="D9" s="400" t="s">
        <v>132</v>
      </c>
      <c r="E9" s="400" t="s">
        <v>177</v>
      </c>
      <c r="F9" s="400" t="s">
        <v>183</v>
      </c>
      <c r="G9" s="400" t="s">
        <v>200</v>
      </c>
      <c r="H9" s="400" t="s">
        <v>203</v>
      </c>
      <c r="I9" s="400" t="s">
        <v>211</v>
      </c>
      <c r="J9" s="400" t="s">
        <v>333</v>
      </c>
      <c r="K9" s="400" t="s">
        <v>350</v>
      </c>
      <c r="L9" s="400" t="s">
        <v>450</v>
      </c>
      <c r="M9" s="401" t="s">
        <v>511</v>
      </c>
      <c r="N9" s="402" t="s">
        <v>549</v>
      </c>
    </row>
    <row r="10" spans="1:19" s="9" customFormat="1" ht="24.75" customHeight="1" x14ac:dyDescent="0.2">
      <c r="B10" s="151" t="s">
        <v>271</v>
      </c>
      <c r="C10" s="459">
        <v>276.31284240000002</v>
      </c>
      <c r="D10" s="459">
        <v>283.98485196000001</v>
      </c>
      <c r="E10" s="459">
        <v>298.47618699999998</v>
      </c>
      <c r="F10" s="459">
        <v>356.40919214000007</v>
      </c>
      <c r="G10" s="459">
        <v>410.64699999999993</v>
      </c>
      <c r="H10" s="459">
        <v>454.39199999999983</v>
      </c>
      <c r="I10" s="462">
        <v>497.47399999999993</v>
      </c>
      <c r="J10" s="459">
        <v>511.30700000000013</v>
      </c>
      <c r="K10" s="459">
        <v>502.97947991000001</v>
      </c>
      <c r="L10" s="462">
        <v>516.82432579000022</v>
      </c>
      <c r="M10" s="851">
        <v>522.33644699999979</v>
      </c>
      <c r="N10" s="463">
        <v>506.60793783999998</v>
      </c>
      <c r="Q10" s="103"/>
    </row>
    <row r="11" spans="1:19" s="9" customFormat="1" ht="24.75" customHeight="1" x14ac:dyDescent="0.2">
      <c r="B11" s="464" t="s">
        <v>79</v>
      </c>
      <c r="C11" s="460">
        <v>236.74443608999997</v>
      </c>
      <c r="D11" s="460">
        <v>244.63593896999996</v>
      </c>
      <c r="E11" s="460">
        <v>271.31779486000011</v>
      </c>
      <c r="F11" s="460">
        <v>333.00848080000031</v>
      </c>
      <c r="G11" s="460">
        <v>383.60011604999988</v>
      </c>
      <c r="H11" s="460">
        <v>427.67596949000006</v>
      </c>
      <c r="I11" s="465">
        <v>472.21331828999985</v>
      </c>
      <c r="J11" s="460">
        <v>488.09457219000006</v>
      </c>
      <c r="K11" s="460">
        <v>484.86801123999999</v>
      </c>
      <c r="L11" s="465">
        <v>500.38982559800024</v>
      </c>
      <c r="M11" s="912">
        <v>505.32244483399984</v>
      </c>
      <c r="N11" s="466">
        <v>494.72187715999996</v>
      </c>
      <c r="Q11" s="103"/>
    </row>
    <row r="12" spans="1:19" s="9" customFormat="1" ht="24.75" customHeight="1" x14ac:dyDescent="0.2">
      <c r="B12" s="464" t="s">
        <v>78</v>
      </c>
      <c r="C12" s="460">
        <v>39.56840631</v>
      </c>
      <c r="D12" s="460">
        <v>39.348912989999988</v>
      </c>
      <c r="E12" s="460">
        <v>27.158392140000007</v>
      </c>
      <c r="F12" s="460">
        <v>23.400711339999987</v>
      </c>
      <c r="G12" s="460">
        <v>27.046883949999998</v>
      </c>
      <c r="H12" s="460">
        <v>26.716030510000003</v>
      </c>
      <c r="I12" s="465">
        <v>25.260681710000004</v>
      </c>
      <c r="J12" s="460">
        <v>23.212427810000001</v>
      </c>
      <c r="K12" s="460">
        <v>18.111468670000004</v>
      </c>
      <c r="L12" s="465">
        <v>16.434500192000002</v>
      </c>
      <c r="M12" s="912">
        <v>17.014002165999997</v>
      </c>
      <c r="N12" s="466">
        <v>11.88606068</v>
      </c>
    </row>
    <row r="13" spans="1:19" s="9" customFormat="1" ht="24.75" customHeight="1" x14ac:dyDescent="0.2">
      <c r="B13" s="151" t="s">
        <v>272</v>
      </c>
      <c r="C13" s="459">
        <v>38.993680680000004</v>
      </c>
      <c r="D13" s="459">
        <v>47.461657099999989</v>
      </c>
      <c r="E13" s="459">
        <v>63.70215254</v>
      </c>
      <c r="F13" s="459">
        <v>71.403908629999989</v>
      </c>
      <c r="G13" s="459">
        <v>77.10452746</v>
      </c>
      <c r="H13" s="459">
        <v>72.456081470000001</v>
      </c>
      <c r="I13" s="462">
        <v>79.94187721000003</v>
      </c>
      <c r="J13" s="459">
        <v>87.338570519999919</v>
      </c>
      <c r="K13" s="459">
        <v>88.541939920000004</v>
      </c>
      <c r="L13" s="462">
        <v>106.30362873000001</v>
      </c>
      <c r="M13" s="851">
        <v>111.7758449</v>
      </c>
      <c r="N13" s="463">
        <v>118.34205895000002</v>
      </c>
      <c r="Q13" s="103"/>
    </row>
    <row r="14" spans="1:19" s="9" customFormat="1" ht="24.75" customHeight="1" x14ac:dyDescent="0.2">
      <c r="B14" s="151" t="s">
        <v>273</v>
      </c>
      <c r="C14" s="459">
        <v>29.977940309999997</v>
      </c>
      <c r="D14" s="459">
        <v>28.649566179999997</v>
      </c>
      <c r="E14" s="459">
        <v>25.795956</v>
      </c>
      <c r="F14" s="459">
        <v>13.762030290000013</v>
      </c>
      <c r="G14" s="459">
        <v>28.620229609999999</v>
      </c>
      <c r="H14" s="459">
        <v>53.407572030000011</v>
      </c>
      <c r="I14" s="462">
        <v>63.123262740000001</v>
      </c>
      <c r="J14" s="459">
        <v>63.817700949999988</v>
      </c>
      <c r="K14" s="459">
        <v>70.264778890000002</v>
      </c>
      <c r="L14" s="462">
        <v>63.447242189999997</v>
      </c>
      <c r="M14" s="851">
        <v>50.081623330000014</v>
      </c>
      <c r="N14" s="463">
        <v>44.391571049999953</v>
      </c>
      <c r="Q14" s="103"/>
    </row>
    <row r="15" spans="1:19" s="9" customFormat="1" ht="24.75" customHeight="1" x14ac:dyDescent="0.2">
      <c r="B15" s="151" t="s">
        <v>274</v>
      </c>
      <c r="C15" s="459">
        <v>40.166909249999932</v>
      </c>
      <c r="D15" s="459">
        <v>42.634530130000016</v>
      </c>
      <c r="E15" s="459">
        <v>16.125663080000052</v>
      </c>
      <c r="F15" s="459">
        <v>57.469509699999989</v>
      </c>
      <c r="G15" s="459">
        <v>64.801649500000124</v>
      </c>
      <c r="H15" s="459">
        <v>89.9461821000002</v>
      </c>
      <c r="I15" s="462">
        <v>120.41568600999999</v>
      </c>
      <c r="J15" s="459">
        <v>124.57918938999954</v>
      </c>
      <c r="K15" s="459">
        <v>119.0223414299998</v>
      </c>
      <c r="L15" s="462">
        <v>114.18100776000004</v>
      </c>
      <c r="M15" s="851">
        <v>93.21856692000064</v>
      </c>
      <c r="N15" s="463">
        <v>79.831227029999738</v>
      </c>
      <c r="Q15" s="65"/>
      <c r="S15" s="60"/>
    </row>
    <row r="16" spans="1:19" s="9" customFormat="1" ht="24.75" customHeight="1" x14ac:dyDescent="0.2">
      <c r="B16" s="432" t="s">
        <v>275</v>
      </c>
      <c r="C16" s="433">
        <f t="shared" ref="C16:G16" si="0">C10+C13+C15+C14</f>
        <v>385.45137263999999</v>
      </c>
      <c r="D16" s="433">
        <f t="shared" si="0"/>
        <v>402.73060537000003</v>
      </c>
      <c r="E16" s="433">
        <f t="shared" si="0"/>
        <v>404.09995862</v>
      </c>
      <c r="F16" s="433">
        <f t="shared" si="0"/>
        <v>499.04464076000011</v>
      </c>
      <c r="G16" s="433">
        <f t="shared" si="0"/>
        <v>581.17340657000011</v>
      </c>
      <c r="H16" s="433">
        <f t="shared" ref="H16:L16" si="1">H10+H13+H15+H14</f>
        <v>670.20183559999998</v>
      </c>
      <c r="I16" s="433">
        <f t="shared" si="1"/>
        <v>760.95482595999988</v>
      </c>
      <c r="J16" s="433">
        <f t="shared" si="1"/>
        <v>787.04246085999966</v>
      </c>
      <c r="K16" s="433">
        <f t="shared" si="1"/>
        <v>780.80854014999977</v>
      </c>
      <c r="L16" s="433">
        <f t="shared" si="1"/>
        <v>800.75620447000028</v>
      </c>
      <c r="M16" s="434">
        <f t="shared" ref="M16:N16" si="2">M10+M13+M15+M14</f>
        <v>777.41248215000041</v>
      </c>
      <c r="N16" s="435">
        <f t="shared" si="2"/>
        <v>749.17279486999962</v>
      </c>
    </row>
    <row r="17" spans="2:18" s="9" customFormat="1" ht="17.25" customHeight="1" x14ac:dyDescent="0.2">
      <c r="B17" s="151"/>
      <c r="C17" s="461"/>
      <c r="D17" s="461"/>
      <c r="E17" s="461"/>
      <c r="F17" s="461"/>
      <c r="G17" s="461"/>
      <c r="H17" s="461"/>
      <c r="I17" s="467"/>
      <c r="J17" s="461"/>
      <c r="K17" s="461"/>
      <c r="L17" s="467"/>
      <c r="M17" s="856"/>
      <c r="N17" s="468"/>
    </row>
    <row r="18" spans="2:18" s="9" customFormat="1" ht="24.75" customHeight="1" x14ac:dyDescent="0.2">
      <c r="B18" s="151" t="s">
        <v>276</v>
      </c>
      <c r="C18" s="459">
        <v>7.6433844600000063</v>
      </c>
      <c r="D18" s="459">
        <v>8.9835367899999952</v>
      </c>
      <c r="E18" s="459">
        <v>12.219328970000003</v>
      </c>
      <c r="F18" s="459">
        <v>19.877328919999989</v>
      </c>
      <c r="G18" s="459">
        <v>32.772462070000003</v>
      </c>
      <c r="H18" s="459">
        <v>52.686348440000003</v>
      </c>
      <c r="I18" s="462">
        <v>70.288956289999987</v>
      </c>
      <c r="J18" s="459">
        <v>76.45771981</v>
      </c>
      <c r="K18" s="459">
        <v>78.356409669999991</v>
      </c>
      <c r="L18" s="462">
        <v>80.442876220000002</v>
      </c>
      <c r="M18" s="851">
        <v>83.960834339999977</v>
      </c>
      <c r="N18" s="463">
        <v>85.223943320000018</v>
      </c>
    </row>
    <row r="19" spans="2:18" s="9" customFormat="1" ht="24.75" customHeight="1" x14ac:dyDescent="0.2">
      <c r="B19" s="151" t="s">
        <v>277</v>
      </c>
      <c r="C19" s="462">
        <v>2.5174830999999998</v>
      </c>
      <c r="D19" s="462">
        <v>4.6189416199999993</v>
      </c>
      <c r="E19" s="462">
        <v>5.205779800000002</v>
      </c>
      <c r="F19" s="462">
        <v>15.482162699999998</v>
      </c>
      <c r="G19" s="459">
        <v>45.533054969999995</v>
      </c>
      <c r="H19" s="459">
        <v>67.329734680000016</v>
      </c>
      <c r="I19" s="462">
        <v>83.904905139999983</v>
      </c>
      <c r="J19" s="459">
        <v>88.776219090000012</v>
      </c>
      <c r="K19" s="459">
        <v>75.349431469999999</v>
      </c>
      <c r="L19" s="462">
        <v>74.853258679999996</v>
      </c>
      <c r="M19" s="851">
        <v>44.902288939999991</v>
      </c>
      <c r="N19" s="463">
        <v>38.968236330000011</v>
      </c>
    </row>
    <row r="20" spans="2:18" s="9" customFormat="1" ht="24.75" customHeight="1" x14ac:dyDescent="0.2">
      <c r="B20" s="151" t="s">
        <v>278</v>
      </c>
      <c r="C20" s="462">
        <v>23.027535540000002</v>
      </c>
      <c r="D20" s="462">
        <v>23.533112760000002</v>
      </c>
      <c r="E20" s="462">
        <v>23.884300769999996</v>
      </c>
      <c r="F20" s="462">
        <v>25.820154970000011</v>
      </c>
      <c r="G20" s="459">
        <v>29.043533120000003</v>
      </c>
      <c r="H20" s="459">
        <v>29.602520509999998</v>
      </c>
      <c r="I20" s="462">
        <v>37.444393680000005</v>
      </c>
      <c r="J20" s="459">
        <v>41.672792670000007</v>
      </c>
      <c r="K20" s="459">
        <v>48.508272179999999</v>
      </c>
      <c r="L20" s="462">
        <v>54.31663463000001</v>
      </c>
      <c r="M20" s="851">
        <v>60.259388629999997</v>
      </c>
      <c r="N20" s="463">
        <v>65.276742829999989</v>
      </c>
    </row>
    <row r="21" spans="2:18" s="9" customFormat="1" ht="24.75" customHeight="1" x14ac:dyDescent="0.2">
      <c r="B21" s="151" t="s">
        <v>279</v>
      </c>
      <c r="C21" s="462">
        <v>36.874636259999996</v>
      </c>
      <c r="D21" s="462">
        <v>30.945729410000006</v>
      </c>
      <c r="E21" s="462">
        <v>13.94749745</v>
      </c>
      <c r="F21" s="462">
        <v>0.64571363000000304</v>
      </c>
      <c r="G21" s="459">
        <v>12.38514004</v>
      </c>
      <c r="H21" s="459">
        <v>18.820755200000004</v>
      </c>
      <c r="I21" s="462">
        <v>24.75945668999999</v>
      </c>
      <c r="J21" s="459">
        <v>26.422295880000007</v>
      </c>
      <c r="K21" s="459">
        <v>26.385850989999994</v>
      </c>
      <c r="L21" s="462">
        <v>28.732993320000006</v>
      </c>
      <c r="M21" s="851">
        <v>27.719322949999984</v>
      </c>
      <c r="N21" s="463">
        <v>25.658709730000012</v>
      </c>
    </row>
    <row r="22" spans="2:18" s="9" customFormat="1" ht="24.75" customHeight="1" x14ac:dyDescent="0.2">
      <c r="B22" s="151" t="s">
        <v>336</v>
      </c>
      <c r="C22" s="462"/>
      <c r="D22" s="462"/>
      <c r="E22" s="462"/>
      <c r="F22" s="462"/>
      <c r="G22" s="459"/>
      <c r="H22" s="459"/>
      <c r="I22" s="462"/>
      <c r="J22" s="459">
        <v>4.1218190000000003</v>
      </c>
      <c r="K22" s="459">
        <v>21.436</v>
      </c>
      <c r="L22" s="462">
        <v>22.091000000000001</v>
      </c>
      <c r="M22" s="851">
        <v>18.28</v>
      </c>
      <c r="N22" s="463">
        <v>7.71</v>
      </c>
    </row>
    <row r="23" spans="2:18" ht="24.75" customHeight="1" x14ac:dyDescent="0.2">
      <c r="B23" s="151" t="s">
        <v>280</v>
      </c>
      <c r="C23" s="462">
        <v>29.492544009999996</v>
      </c>
      <c r="D23" s="462">
        <v>29.081642790000004</v>
      </c>
      <c r="E23" s="462">
        <v>18.251205319999972</v>
      </c>
      <c r="F23" s="462">
        <v>6.5734742700000588</v>
      </c>
      <c r="G23" s="459">
        <v>14.572365080000008</v>
      </c>
      <c r="H23" s="459">
        <v>13.96302617000001</v>
      </c>
      <c r="I23" s="462">
        <v>13.206603949999998</v>
      </c>
      <c r="J23" s="459">
        <v>12.946861139999907</v>
      </c>
      <c r="K23" s="459">
        <v>13.143638280000051</v>
      </c>
      <c r="L23" s="462">
        <v>12.761573479999914</v>
      </c>
      <c r="M23" s="851">
        <v>12.785316060000039</v>
      </c>
      <c r="N23" s="463">
        <v>12.820602309999973</v>
      </c>
    </row>
    <row r="24" spans="2:18" s="9" customFormat="1" ht="24.75" customHeight="1" x14ac:dyDescent="0.2">
      <c r="B24" s="432" t="s">
        <v>281</v>
      </c>
      <c r="C24" s="433">
        <f t="shared" ref="C24:I24" si="3">SUM(C18:C23)</f>
        <v>99.555583369999994</v>
      </c>
      <c r="D24" s="433">
        <f t="shared" si="3"/>
        <v>97.162963370000014</v>
      </c>
      <c r="E24" s="433">
        <f t="shared" si="3"/>
        <v>73.508112309999973</v>
      </c>
      <c r="F24" s="433">
        <f t="shared" si="3"/>
        <v>68.398834490000056</v>
      </c>
      <c r="G24" s="433">
        <f t="shared" si="3"/>
        <v>134.30655528</v>
      </c>
      <c r="H24" s="433">
        <f t="shared" si="3"/>
        <v>182.40238500000004</v>
      </c>
      <c r="I24" s="433">
        <f t="shared" si="3"/>
        <v>229.60431574999996</v>
      </c>
      <c r="J24" s="433">
        <f t="shared" ref="J24" si="4">SUM(J18:J23)</f>
        <v>250.3977075899999</v>
      </c>
      <c r="K24" s="433">
        <f>SUM(K18:K23)</f>
        <v>263.17960259000006</v>
      </c>
      <c r="L24" s="433">
        <f>SUM(L18:L23)</f>
        <v>273.19833632999996</v>
      </c>
      <c r="M24" s="434">
        <f>SUM(M18:M23)</f>
        <v>247.90715091999999</v>
      </c>
      <c r="N24" s="435">
        <f>SUM(N18:N23)</f>
        <v>235.65823451999998</v>
      </c>
    </row>
    <row r="25" spans="2:18" s="9" customFormat="1" ht="11.25" customHeight="1" x14ac:dyDescent="0.35">
      <c r="B25" s="472"/>
      <c r="C25" s="469"/>
      <c r="D25" s="469"/>
      <c r="E25" s="469"/>
      <c r="F25" s="469"/>
      <c r="G25" s="469"/>
      <c r="H25" s="469"/>
      <c r="I25" s="469"/>
      <c r="J25" s="469"/>
      <c r="K25" s="469"/>
      <c r="L25" s="469"/>
      <c r="M25" s="473"/>
      <c r="N25" s="474"/>
    </row>
    <row r="26" spans="2:18" s="9" customFormat="1" ht="24" customHeight="1" x14ac:dyDescent="0.2">
      <c r="B26" s="475" t="s">
        <v>1</v>
      </c>
      <c r="C26" s="476">
        <f t="shared" ref="C26:I26" si="5">C16-C24</f>
        <v>285.89578927000002</v>
      </c>
      <c r="D26" s="476">
        <f t="shared" si="5"/>
        <v>305.56764200000003</v>
      </c>
      <c r="E26" s="476">
        <f t="shared" si="5"/>
        <v>330.59184631000005</v>
      </c>
      <c r="F26" s="476">
        <f t="shared" si="5"/>
        <v>430.64580627000004</v>
      </c>
      <c r="G26" s="476">
        <f t="shared" si="5"/>
        <v>446.86685129000011</v>
      </c>
      <c r="H26" s="476">
        <f t="shared" si="5"/>
        <v>487.79945059999994</v>
      </c>
      <c r="I26" s="476">
        <f t="shared" si="5"/>
        <v>531.35051020999992</v>
      </c>
      <c r="J26" s="476">
        <f t="shared" ref="J26" si="6">J16-J24</f>
        <v>536.6447532699998</v>
      </c>
      <c r="K26" s="476">
        <f>K16-K24</f>
        <v>517.62893755999971</v>
      </c>
      <c r="L26" s="476">
        <f>L16-L24</f>
        <v>527.55786814000032</v>
      </c>
      <c r="M26" s="477">
        <f>M16-M24</f>
        <v>529.50533123000037</v>
      </c>
      <c r="N26" s="478">
        <f>N16-N24</f>
        <v>513.51456034999967</v>
      </c>
    </row>
    <row r="27" spans="2:18" s="9" customFormat="1" ht="12.75" customHeight="1" x14ac:dyDescent="0.2">
      <c r="B27" s="479"/>
      <c r="C27" s="480"/>
      <c r="D27" s="480"/>
      <c r="E27" s="480"/>
      <c r="F27" s="480"/>
      <c r="G27" s="480"/>
      <c r="H27" s="480"/>
      <c r="I27" s="480"/>
      <c r="J27" s="480"/>
      <c r="K27" s="480"/>
      <c r="L27" s="480"/>
      <c r="M27" s="481"/>
      <c r="N27" s="482"/>
    </row>
    <row r="28" spans="2:18" s="9" customFormat="1" ht="23.25" customHeight="1" x14ac:dyDescent="0.2">
      <c r="B28" s="737" t="s">
        <v>428</v>
      </c>
      <c r="C28" s="738">
        <v>-5.2793750000000002E-3</v>
      </c>
      <c r="D28" s="738">
        <v>-3.56353846153846E-3</v>
      </c>
      <c r="E28" s="738">
        <v>4.8616666666666704E-3</v>
      </c>
      <c r="F28" s="738">
        <v>1.7786153846153899E-2</v>
      </c>
      <c r="G28" s="738">
        <v>2.63595384615385E-2</v>
      </c>
      <c r="H28" s="738">
        <v>3.36326153846154E-2</v>
      </c>
      <c r="I28" s="738">
        <v>3.7774769230769202E-2</v>
      </c>
      <c r="J28" s="738">
        <v>3.9582923076923099E-2</v>
      </c>
      <c r="K28" s="738">
        <v>3.9231692307692301E-2</v>
      </c>
      <c r="L28" s="738">
        <v>3.8104307692307701E-2</v>
      </c>
      <c r="M28" s="739">
        <v>3.5634923076923099E-2</v>
      </c>
      <c r="N28" s="740">
        <v>2.9984242424242403E-2</v>
      </c>
      <c r="P28" s="762"/>
    </row>
    <row r="29" spans="2:18" s="9" customFormat="1" ht="23.25" customHeight="1" x14ac:dyDescent="0.2">
      <c r="B29" s="743" t="s">
        <v>464</v>
      </c>
      <c r="C29" s="744">
        <v>3.5367596149805385E-2</v>
      </c>
      <c r="D29" s="744">
        <v>3.633836919004433E-2</v>
      </c>
      <c r="E29" s="744">
        <v>3.8607013079302414E-2</v>
      </c>
      <c r="F29" s="744">
        <v>4.6752684459543552E-2</v>
      </c>
      <c r="G29" s="744">
        <v>5.4949729637958307E-2</v>
      </c>
      <c r="H29" s="744">
        <v>6.070619928770199E-2</v>
      </c>
      <c r="I29" s="744">
        <v>6.4562669640484793E-2</v>
      </c>
      <c r="J29" s="744">
        <v>6.573999999785278E-2</v>
      </c>
      <c r="K29" s="744">
        <v>6.5312671941050129E-2</v>
      </c>
      <c r="L29" s="744">
        <v>6.591987949724773E-2</v>
      </c>
      <c r="M29" s="745">
        <v>6.3971184781618229E-2</v>
      </c>
      <c r="N29" s="746">
        <v>5.9481827059117559E-2</v>
      </c>
      <c r="P29" s="762"/>
      <c r="Q29" s="762"/>
      <c r="R29" s="762"/>
    </row>
    <row r="30" spans="2:18" s="9" customFormat="1" ht="23.25" customHeight="1" x14ac:dyDescent="0.2">
      <c r="B30" s="736" t="s">
        <v>491</v>
      </c>
      <c r="C30" s="752">
        <v>3.3151737721239999E-2</v>
      </c>
      <c r="D30" s="752">
        <v>3.4682154529744588E-2</v>
      </c>
      <c r="E30" s="752">
        <v>3.6992319807931599E-2</v>
      </c>
      <c r="F30" s="752">
        <v>4.5767355515213139E-2</v>
      </c>
      <c r="G30" s="752">
        <v>5.5350495803373215E-2</v>
      </c>
      <c r="H30" s="752">
        <v>5.9621738594033885E-2</v>
      </c>
      <c r="I30" s="752">
        <v>6.56281763026898E-2</v>
      </c>
      <c r="J30" s="752">
        <v>6.7107895788420968E-2</v>
      </c>
      <c r="K30" s="752">
        <v>6.645371867807888E-2</v>
      </c>
      <c r="L30" s="752">
        <v>6.5704161336757688E-2</v>
      </c>
      <c r="M30" s="753">
        <v>6.3939296024634079E-2</v>
      </c>
      <c r="N30" s="754">
        <v>5.9006693162056527E-2</v>
      </c>
      <c r="P30" s="762"/>
      <c r="Q30" s="762"/>
      <c r="R30" s="762"/>
    </row>
    <row r="31" spans="2:18" s="9" customFormat="1" ht="23.25" customHeight="1" x14ac:dyDescent="0.2">
      <c r="B31" s="736" t="s">
        <v>492</v>
      </c>
      <c r="C31" s="752">
        <v>1.9453422069058993E-2</v>
      </c>
      <c r="D31" s="752">
        <v>1.9646834914267504E-2</v>
      </c>
      <c r="E31" s="752">
        <v>2.3393185686686867E-2</v>
      </c>
      <c r="F31" s="752">
        <v>3.3462835621550127E-2</v>
      </c>
      <c r="G31" s="752">
        <v>4.1967651856792819E-2</v>
      </c>
      <c r="H31" s="752">
        <v>4.8677462503227083E-2</v>
      </c>
      <c r="I31" s="752">
        <v>4.9890645134093088E-2</v>
      </c>
      <c r="J31" s="752">
        <v>5.0302153444610982E-2</v>
      </c>
      <c r="K31" s="752">
        <v>5.0936336436381728E-2</v>
      </c>
      <c r="L31" s="752">
        <v>5.1400000000000001E-2</v>
      </c>
      <c r="M31" s="753">
        <v>5.0799999999999998E-2</v>
      </c>
      <c r="N31" s="754">
        <v>4.8053290381584221E-2</v>
      </c>
      <c r="P31" s="762"/>
      <c r="Q31" s="762"/>
      <c r="R31" s="762"/>
    </row>
    <row r="32" spans="2:18" s="9" customFormat="1" ht="23.25" customHeight="1" x14ac:dyDescent="0.2">
      <c r="B32" s="747" t="s">
        <v>493</v>
      </c>
      <c r="C32" s="755">
        <v>7.1729140310925948E-2</v>
      </c>
      <c r="D32" s="755">
        <v>7.3167355831025738E-2</v>
      </c>
      <c r="E32" s="755">
        <v>7.4331241853982599E-2</v>
      </c>
      <c r="F32" s="755">
        <v>7.6363512699586078E-2</v>
      </c>
      <c r="G32" s="755">
        <v>8.0086163704706934E-2</v>
      </c>
      <c r="H32" s="755">
        <v>8.4616869792783503E-2</v>
      </c>
      <c r="I32" s="755">
        <v>8.5117623059290409E-2</v>
      </c>
      <c r="J32" s="755">
        <v>8.5438163870236089E-2</v>
      </c>
      <c r="K32" s="755">
        <v>8.4179658441651414E-2</v>
      </c>
      <c r="L32" s="755">
        <v>8.4980428741874267E-2</v>
      </c>
      <c r="M32" s="756">
        <v>8.2999116404862155E-2</v>
      </c>
      <c r="N32" s="757">
        <v>8.0871049097841458E-2</v>
      </c>
      <c r="P32" s="762"/>
      <c r="Q32" s="762"/>
      <c r="R32" s="762"/>
    </row>
    <row r="33" spans="2:18" s="9" customFormat="1" ht="23.25" customHeight="1" x14ac:dyDescent="0.2">
      <c r="B33" s="743" t="s">
        <v>517</v>
      </c>
      <c r="C33" s="744">
        <v>3.4832990197797495E-2</v>
      </c>
      <c r="D33" s="744">
        <v>3.4464861270067898E-2</v>
      </c>
      <c r="E33" s="744">
        <v>3.2655397675773176E-2</v>
      </c>
      <c r="F33" s="744">
        <v>2.94483743159317E-2</v>
      </c>
      <c r="G33" s="744">
        <v>2.7484306220677136E-2</v>
      </c>
      <c r="H33" s="744">
        <v>2.7672846623426003E-2</v>
      </c>
      <c r="I33" s="744">
        <v>2.7255650575064412E-2</v>
      </c>
      <c r="J33" s="744">
        <v>2.6253577398597853E-2</v>
      </c>
      <c r="K33" s="744">
        <v>2.5893817650140719E-2</v>
      </c>
      <c r="L33" s="744">
        <v>2.6866913594297603E-2</v>
      </c>
      <c r="M33" s="745">
        <v>2.6106057315995437E-2</v>
      </c>
      <c r="N33" s="746">
        <v>2.4844613548467308E-2</v>
      </c>
      <c r="Q33" s="762"/>
      <c r="R33" s="762"/>
    </row>
    <row r="34" spans="2:18" s="9" customFormat="1" ht="23.25" customHeight="1" x14ac:dyDescent="0.2">
      <c r="B34" s="736" t="s">
        <v>491</v>
      </c>
      <c r="C34" s="752">
        <v>3.306122900903391E-2</v>
      </c>
      <c r="D34" s="752">
        <v>3.2582462623923503E-2</v>
      </c>
      <c r="E34" s="752">
        <v>3.1061291113881222E-2</v>
      </c>
      <c r="F34" s="752">
        <v>2.8769659546992541E-2</v>
      </c>
      <c r="G34" s="752">
        <v>2.6891410143407356E-2</v>
      </c>
      <c r="H34" s="752">
        <v>2.6462024242743735E-2</v>
      </c>
      <c r="I34" s="752">
        <v>2.6030170194375701E-2</v>
      </c>
      <c r="J34" s="752">
        <v>2.4943084988293177E-2</v>
      </c>
      <c r="K34" s="752">
        <v>2.4487256057612827E-2</v>
      </c>
      <c r="L34" s="752">
        <v>2.4078191050229649E-2</v>
      </c>
      <c r="M34" s="753">
        <v>2.3726223789355651E-2</v>
      </c>
      <c r="N34" s="754">
        <v>2.2877279229359341E-2</v>
      </c>
      <c r="Q34" s="762"/>
      <c r="R34" s="762"/>
    </row>
    <row r="35" spans="2:18" s="9" customFormat="1" ht="23.25" customHeight="1" x14ac:dyDescent="0.2">
      <c r="B35" s="736" t="s">
        <v>492</v>
      </c>
      <c r="C35" s="752">
        <v>2.1636625251302739E-2</v>
      </c>
      <c r="D35" s="752">
        <v>2.1647835557701323E-2</v>
      </c>
      <c r="E35" s="752">
        <v>1.9863723597575017E-2</v>
      </c>
      <c r="F35" s="752">
        <v>1.7301732239227728E-2</v>
      </c>
      <c r="G35" s="752">
        <v>1.6133063877123092E-2</v>
      </c>
      <c r="H35" s="752">
        <v>1.8642871142911369E-2</v>
      </c>
      <c r="I35" s="752">
        <v>1.9194402990634712E-2</v>
      </c>
      <c r="J35" s="752">
        <v>1.9133112858344941E-2</v>
      </c>
      <c r="K35" s="752">
        <v>1.9819356994104944E-2</v>
      </c>
      <c r="L35" s="752">
        <v>2.5157836599761056E-2</v>
      </c>
      <c r="M35" s="753">
        <v>2.2972658759469692E-2</v>
      </c>
      <c r="N35" s="754">
        <v>1.9167215717352446E-2</v>
      </c>
      <c r="Q35" s="762"/>
      <c r="R35" s="762"/>
    </row>
    <row r="36" spans="2:18" s="9" customFormat="1" ht="23.25" customHeight="1" x14ac:dyDescent="0.2">
      <c r="B36" s="747" t="s">
        <v>493</v>
      </c>
      <c r="C36" s="755">
        <v>7.431269306836169E-2</v>
      </c>
      <c r="D36" s="755">
        <v>7.2703621832481247E-2</v>
      </c>
      <c r="E36" s="755">
        <v>6.8561220221761074E-2</v>
      </c>
      <c r="F36" s="755">
        <v>5.8835644644240244E-2</v>
      </c>
      <c r="G36" s="755">
        <v>5.4844000035603718E-2</v>
      </c>
      <c r="H36" s="755">
        <v>5.302020095169941E-2</v>
      </c>
      <c r="I36" s="755">
        <v>4.9957482357563171E-2</v>
      </c>
      <c r="J36" s="755">
        <v>4.7366942396091856E-2</v>
      </c>
      <c r="K36" s="755">
        <v>4.5907701885376948E-2</v>
      </c>
      <c r="L36" s="755">
        <v>4.7192151774700569E-2</v>
      </c>
      <c r="M36" s="756">
        <v>4.7215065382410847E-2</v>
      </c>
      <c r="N36" s="757">
        <v>4.8587221750214508E-2</v>
      </c>
      <c r="Q36" s="762"/>
      <c r="R36" s="762"/>
    </row>
    <row r="37" spans="2:18" s="9" customFormat="1" ht="23.25" customHeight="1" x14ac:dyDescent="0.2">
      <c r="B37" s="748" t="s">
        <v>429</v>
      </c>
      <c r="C37" s="749">
        <v>1.2802615841537796E-2</v>
      </c>
      <c r="D37" s="749">
        <v>1.5174101143778764E-2</v>
      </c>
      <c r="E37" s="749">
        <v>1.9091289063860865E-2</v>
      </c>
      <c r="F37" s="749">
        <v>2.0720208918122183E-2</v>
      </c>
      <c r="G37" s="749">
        <v>2.5119801157975224E-2</v>
      </c>
      <c r="H37" s="749">
        <v>2.218905237387921E-2</v>
      </c>
      <c r="I37" s="749">
        <v>2.3988991922705458E-2</v>
      </c>
      <c r="J37" s="749">
        <v>2.5777044964965665E-2</v>
      </c>
      <c r="K37" s="749">
        <v>2.5938008531260312E-2</v>
      </c>
      <c r="L37" s="749">
        <v>2.9281246333657196E-2</v>
      </c>
      <c r="M37" s="750">
        <v>2.9574718018028939E-2</v>
      </c>
      <c r="N37" s="751">
        <v>2.954298456052815E-2</v>
      </c>
    </row>
    <row r="38" spans="2:18" s="9" customFormat="1" ht="23.25" customHeight="1" x14ac:dyDescent="0.2">
      <c r="B38" s="743" t="s">
        <v>431</v>
      </c>
      <c r="C38" s="744">
        <v>5.5859697784530241E-4</v>
      </c>
      <c r="D38" s="744">
        <v>6.4073562478832679E-4</v>
      </c>
      <c r="E38" s="744">
        <v>8.4769235672187289E-4</v>
      </c>
      <c r="F38" s="744">
        <v>1.3524478197423323E-3</v>
      </c>
      <c r="G38" s="744">
        <v>2.2992829711599235E-3</v>
      </c>
      <c r="H38" s="744">
        <v>3.6137516447293039E-3</v>
      </c>
      <c r="I38" s="744">
        <v>4.6953754684291374E-3</v>
      </c>
      <c r="J38" s="744">
        <v>5.0918672365838722E-3</v>
      </c>
      <c r="K38" s="744">
        <v>5.3272728018339145E-3</v>
      </c>
      <c r="L38" s="744">
        <v>5.3724921473707991E-3</v>
      </c>
      <c r="M38" s="745">
        <v>5.472896783695412E-3</v>
      </c>
      <c r="N38" s="746">
        <v>5.4274043943437107E-3</v>
      </c>
    </row>
    <row r="39" spans="2:18" s="9" customFormat="1" ht="23.25" customHeight="1" x14ac:dyDescent="0.2">
      <c r="B39" s="736" t="s">
        <v>519</v>
      </c>
      <c r="C39" s="752">
        <v>4.0000000000000002E-4</v>
      </c>
      <c r="D39" s="752">
        <v>4.0000000000000002E-4</v>
      </c>
      <c r="E39" s="752">
        <v>4.0000000000000002E-4</v>
      </c>
      <c r="F39" s="752">
        <v>5.0000000000000001E-4</v>
      </c>
      <c r="G39" s="752">
        <v>5.9999999999999995E-4</v>
      </c>
      <c r="H39" s="752">
        <v>4.0000000000000002E-4</v>
      </c>
      <c r="I39" s="752">
        <v>5.0000000000000001E-4</v>
      </c>
      <c r="J39" s="752">
        <v>5.9999999999999995E-4</v>
      </c>
      <c r="K39" s="752">
        <v>6.9999999999999999E-4</v>
      </c>
      <c r="L39" s="752">
        <v>6.9999999999999999E-4</v>
      </c>
      <c r="M39" s="753">
        <v>6.8951896105703004E-4</v>
      </c>
      <c r="N39" s="754">
        <v>7.8879677959455008E-4</v>
      </c>
    </row>
    <row r="40" spans="2:18" s="9" customFormat="1" ht="23.25" customHeight="1" x14ac:dyDescent="0.2">
      <c r="B40" s="747" t="s">
        <v>518</v>
      </c>
      <c r="C40" s="755">
        <v>1.1999999999999999E-3</v>
      </c>
      <c r="D40" s="755">
        <v>1.6000000000000001E-3</v>
      </c>
      <c r="E40" s="755">
        <v>3.0999999999999999E-3</v>
      </c>
      <c r="F40" s="755">
        <v>5.4000000000000003E-3</v>
      </c>
      <c r="G40" s="755">
        <v>9.5999999999999992E-3</v>
      </c>
      <c r="H40" s="755">
        <v>1.4800000000000001E-2</v>
      </c>
      <c r="I40" s="755">
        <v>1.8499999999999999E-2</v>
      </c>
      <c r="J40" s="755">
        <v>0.02</v>
      </c>
      <c r="K40" s="755">
        <v>2.07E-2</v>
      </c>
      <c r="L40" s="755">
        <v>2.1299999999999999E-2</v>
      </c>
      <c r="M40" s="756">
        <v>2.2170208772049633E-2</v>
      </c>
      <c r="N40" s="757">
        <v>2.1600878721983151E-2</v>
      </c>
    </row>
    <row r="41" spans="2:18" s="9" customFormat="1" ht="23.25" customHeight="1" x14ac:dyDescent="0.2">
      <c r="B41" s="741" t="s">
        <v>430</v>
      </c>
      <c r="C41" s="742">
        <v>4.8445267871486807E-2</v>
      </c>
      <c r="D41" s="742">
        <v>4.8971383747625767E-2</v>
      </c>
      <c r="E41" s="742">
        <v>4.934028091930534E-2</v>
      </c>
      <c r="F41" s="742">
        <v>6.0620395366141257E-2</v>
      </c>
      <c r="G41" s="742">
        <v>6.5171258055481962E-2</v>
      </c>
      <c r="H41" s="742">
        <v>6.5429217519622399E-2</v>
      </c>
      <c r="I41" s="742">
        <v>6.3833707033967485E-2</v>
      </c>
      <c r="J41" s="742">
        <v>6.5566377745863616E-2</v>
      </c>
      <c r="K41" s="742">
        <v>6.6074006964766188E-2</v>
      </c>
      <c r="L41" s="742">
        <v>6.2635491338182345E-2</v>
      </c>
      <c r="M41" s="857">
        <v>5.7548699279133135E-2</v>
      </c>
      <c r="N41" s="931">
        <v>5.8657740285411222E-2</v>
      </c>
    </row>
    <row r="42" spans="2:18" s="9" customFormat="1" ht="11.25" customHeight="1" x14ac:dyDescent="0.35">
      <c r="B42" s="392"/>
      <c r="C42" s="489"/>
      <c r="D42" s="489"/>
      <c r="E42" s="489"/>
      <c r="F42" s="489"/>
      <c r="G42" s="489"/>
      <c r="H42" s="489"/>
      <c r="I42" s="489"/>
      <c r="J42" s="489"/>
      <c r="K42" s="489"/>
      <c r="L42" s="489"/>
      <c r="M42" s="490"/>
      <c r="N42" s="491"/>
    </row>
    <row r="43" spans="2:18" s="9" customFormat="1" ht="24.75" customHeight="1" x14ac:dyDescent="0.2">
      <c r="B43" s="475" t="s">
        <v>188</v>
      </c>
      <c r="C43" s="486">
        <v>1.4513780822707293E-2</v>
      </c>
      <c r="D43" s="486">
        <v>1.5170293643069429E-2</v>
      </c>
      <c r="E43" s="486">
        <v>1.6086041285755897E-2</v>
      </c>
      <c r="F43" s="486">
        <v>2.2115116287376942E-2</v>
      </c>
      <c r="G43" s="486">
        <v>2.4186364552267556E-2</v>
      </c>
      <c r="H43" s="486">
        <v>2.5730816441364001E-2</v>
      </c>
      <c r="I43" s="486">
        <v>2.7206651241827556E-2</v>
      </c>
      <c r="J43" s="486">
        <v>2.774100684837344E-2</v>
      </c>
      <c r="K43" s="486">
        <v>2.7109835221081534E-2</v>
      </c>
      <c r="L43" s="486">
        <v>2.7427644583798531E-2</v>
      </c>
      <c r="M43" s="487">
        <v>2.7256105968659187E-2</v>
      </c>
      <c r="N43" s="488">
        <v>2.6014731183636831E-2</v>
      </c>
    </row>
    <row r="44" spans="2:18" ht="24.75" customHeight="1" x14ac:dyDescent="0.2">
      <c r="B44" s="483" t="s">
        <v>465</v>
      </c>
      <c r="C44" s="470">
        <v>1.7153968416720802E-2</v>
      </c>
      <c r="D44" s="470">
        <v>1.8113635426630716E-2</v>
      </c>
      <c r="E44" s="470">
        <v>1.9183351465404737E-2</v>
      </c>
      <c r="F44" s="470">
        <v>2.6369320940840456E-2</v>
      </c>
      <c r="G44" s="470">
        <v>2.917648862280451E-2</v>
      </c>
      <c r="H44" s="470">
        <v>3.1338402508389207E-2</v>
      </c>
      <c r="I44" s="470">
        <v>3.2960999119294433E-2</v>
      </c>
      <c r="J44" s="470">
        <v>3.3307402014301282E-2</v>
      </c>
      <c r="K44" s="470">
        <v>3.2531039829843039E-2</v>
      </c>
      <c r="L44" s="470">
        <v>3.312506810691395E-2</v>
      </c>
      <c r="M44" s="484">
        <v>3.2802537964391122E-2</v>
      </c>
      <c r="N44" s="485">
        <v>3.0819292366616142E-2</v>
      </c>
    </row>
    <row r="45" spans="2:18" ht="11.25" customHeight="1" x14ac:dyDescent="0.2">
      <c r="B45" s="318"/>
      <c r="C45" s="318"/>
      <c r="D45" s="318"/>
      <c r="E45" s="318"/>
      <c r="F45" s="318"/>
      <c r="G45" s="318"/>
      <c r="H45" s="318"/>
      <c r="I45" s="318"/>
      <c r="J45" s="318"/>
      <c r="K45" s="318"/>
      <c r="L45" s="318"/>
      <c r="M45" s="318"/>
      <c r="N45" s="318"/>
    </row>
    <row r="46" spans="2:18" ht="18.75" customHeight="1" x14ac:dyDescent="0.2">
      <c r="B46" s="383" t="s">
        <v>214</v>
      </c>
      <c r="C46" s="382"/>
      <c r="D46" s="382"/>
      <c r="E46" s="382"/>
      <c r="F46" s="382"/>
      <c r="G46" s="382"/>
      <c r="H46" s="382"/>
      <c r="I46" s="382"/>
      <c r="J46" s="382"/>
      <c r="K46" s="382"/>
      <c r="L46" s="382"/>
      <c r="M46" s="382"/>
      <c r="N46" s="382"/>
    </row>
    <row r="47" spans="2:18" ht="18.75" customHeight="1" x14ac:dyDescent="0.2">
      <c r="B47" s="383" t="s">
        <v>215</v>
      </c>
      <c r="C47" s="382"/>
      <c r="D47" s="382"/>
      <c r="E47" s="382"/>
      <c r="F47" s="382"/>
      <c r="G47" s="382"/>
      <c r="H47" s="382"/>
      <c r="I47" s="382"/>
      <c r="J47" s="382"/>
      <c r="K47" s="382"/>
      <c r="L47" s="382"/>
      <c r="M47" s="382"/>
      <c r="N47" s="382"/>
    </row>
    <row r="48" spans="2:18" ht="18.75" customHeight="1" x14ac:dyDescent="0.2">
      <c r="B48" s="383" t="s">
        <v>531</v>
      </c>
      <c r="C48" s="382"/>
      <c r="D48" s="382"/>
      <c r="E48" s="382"/>
      <c r="F48" s="382"/>
      <c r="G48" s="382"/>
      <c r="H48" s="382"/>
      <c r="I48" s="382"/>
      <c r="J48" s="382"/>
      <c r="K48" s="382"/>
      <c r="L48" s="382"/>
      <c r="M48" s="382"/>
      <c r="N48" s="382"/>
    </row>
    <row r="49" spans="2:14" ht="27" customHeight="1" x14ac:dyDescent="0.2">
      <c r="B49" s="89"/>
      <c r="C49" s="38"/>
      <c r="D49" s="38"/>
      <c r="E49" s="38"/>
      <c r="F49" s="38"/>
      <c r="G49" s="38"/>
      <c r="H49" s="38"/>
      <c r="I49" s="38"/>
      <c r="J49" s="38"/>
      <c r="K49" s="38"/>
      <c r="L49" s="38"/>
      <c r="M49" s="38"/>
      <c r="N49" s="38"/>
    </row>
    <row r="50" spans="2:14" ht="34.5" customHeight="1" x14ac:dyDescent="0.2">
      <c r="B50" s="38"/>
      <c r="C50" s="38"/>
      <c r="D50" s="38"/>
      <c r="E50" s="38"/>
      <c r="F50" s="38"/>
      <c r="G50" s="38"/>
      <c r="H50" s="38"/>
      <c r="I50" s="38"/>
      <c r="J50" s="38"/>
      <c r="K50" s="38"/>
      <c r="L50" s="38"/>
      <c r="M50" s="38"/>
      <c r="N50" s="38"/>
    </row>
    <row r="51" spans="2:14" x14ac:dyDescent="0.2">
      <c r="B51" s="38"/>
      <c r="C51" s="38"/>
      <c r="D51" s="38"/>
      <c r="E51" s="38"/>
      <c r="F51" s="38"/>
      <c r="G51" s="38"/>
      <c r="H51" s="38"/>
      <c r="I51" s="38"/>
      <c r="J51" s="38"/>
      <c r="K51" s="38"/>
      <c r="L51" s="38"/>
      <c r="M51" s="38"/>
      <c r="N51" s="38"/>
    </row>
    <row r="52" spans="2:14" ht="24.75" customHeight="1" x14ac:dyDescent="0.2">
      <c r="B52" s="38"/>
      <c r="C52" s="38"/>
      <c r="D52" s="38"/>
      <c r="E52" s="38"/>
      <c r="F52" s="38"/>
      <c r="G52" s="38"/>
      <c r="H52" s="38"/>
      <c r="I52" s="38"/>
      <c r="J52" s="38"/>
      <c r="K52" s="38"/>
      <c r="L52" s="38"/>
      <c r="M52" s="38"/>
      <c r="N52" s="38"/>
    </row>
  </sheetData>
  <mergeCells count="1">
    <mergeCell ref="B5:N5"/>
  </mergeCells>
  <hyperlinks>
    <hyperlink ref="N2" location="'Cover '!A1" display="Back to Cover" xr:uid="{3863610A-EFDF-49AB-BA32-F7C5F2EB55D5}"/>
  </hyperlinks>
  <pageMargins left="0.7" right="0.7" top="0.75" bottom="0.75" header="0.3" footer="0.3"/>
  <pageSetup scale="48" orientation="landscape" r:id="rId1"/>
  <ignoredErrors>
    <ignoredError sqref="J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U30"/>
  <sheetViews>
    <sheetView showGridLines="0" view="pageBreakPreview" zoomScale="80" zoomScaleNormal="90" zoomScaleSheetLayoutView="80" workbookViewId="0">
      <selection activeCell="M28" sqref="M28"/>
    </sheetView>
  </sheetViews>
  <sheetFormatPr defaultColWidth="9.140625" defaultRowHeight="15.75" x14ac:dyDescent="0.2"/>
  <cols>
    <col min="1" max="1" width="2.42578125" style="6" customWidth="1"/>
    <col min="2" max="2" width="29.140625" style="6" customWidth="1"/>
    <col min="3" max="3" width="37.140625" style="6" customWidth="1"/>
    <col min="4" max="15" width="15.85546875" style="6" customWidth="1"/>
    <col min="16" max="16" width="2.42578125" style="6" customWidth="1"/>
    <col min="17" max="17" width="9.140625" style="6"/>
    <col min="18" max="18" width="13.140625" style="6" bestFit="1" customWidth="1"/>
    <col min="19" max="16384" width="9.140625" style="6"/>
  </cols>
  <sheetData>
    <row r="1" spans="1:21" ht="15.75" customHeight="1" x14ac:dyDescent="0.2"/>
    <row r="2" spans="1:21" ht="15.75" customHeight="1" x14ac:dyDescent="0.2">
      <c r="B2" s="318"/>
      <c r="C2" s="318"/>
      <c r="D2" s="122"/>
      <c r="E2" s="122"/>
      <c r="F2" s="122"/>
      <c r="G2" s="122"/>
      <c r="H2" s="122"/>
      <c r="I2" s="122"/>
      <c r="J2" s="122"/>
      <c r="K2" s="122"/>
      <c r="L2" s="122"/>
      <c r="M2" s="122"/>
      <c r="N2" s="122"/>
      <c r="O2" s="122" t="s">
        <v>20</v>
      </c>
    </row>
    <row r="3" spans="1:21" ht="15.75" customHeight="1" x14ac:dyDescent="0.2">
      <c r="B3" s="318"/>
      <c r="C3" s="318"/>
      <c r="D3" s="318"/>
      <c r="E3" s="318"/>
      <c r="F3" s="318"/>
      <c r="G3" s="318"/>
      <c r="H3" s="318"/>
      <c r="I3" s="318"/>
      <c r="J3" s="318"/>
      <c r="K3" s="318"/>
      <c r="L3" s="318"/>
      <c r="M3" s="318"/>
      <c r="N3" s="318"/>
      <c r="O3" s="318"/>
    </row>
    <row r="4" spans="1:21" ht="15.75" customHeight="1" x14ac:dyDescent="0.2">
      <c r="B4" s="318"/>
      <c r="C4" s="318"/>
      <c r="D4" s="318"/>
      <c r="E4" s="318"/>
      <c r="F4" s="318"/>
      <c r="G4" s="318"/>
      <c r="H4" s="318"/>
      <c r="I4" s="318"/>
      <c r="J4" s="318"/>
      <c r="K4" s="318"/>
      <c r="L4" s="318"/>
      <c r="M4" s="318"/>
      <c r="N4" s="318"/>
      <c r="O4" s="318"/>
    </row>
    <row r="5" spans="1:21" s="17" customFormat="1" ht="28.5" x14ac:dyDescent="0.2">
      <c r="A5" s="16"/>
      <c r="B5" s="937" t="s">
        <v>124</v>
      </c>
      <c r="C5" s="941"/>
      <c r="D5" s="941"/>
      <c r="E5" s="941"/>
      <c r="F5" s="941"/>
      <c r="G5" s="941"/>
      <c r="H5" s="941"/>
      <c r="I5" s="941"/>
      <c r="J5" s="941"/>
      <c r="K5" s="941"/>
      <c r="L5" s="941"/>
      <c r="M5" s="941"/>
      <c r="N5" s="941"/>
      <c r="O5" s="929"/>
    </row>
    <row r="6" spans="1:21" s="17" customFormat="1" ht="9" customHeight="1" x14ac:dyDescent="0.2">
      <c r="A6" s="16"/>
      <c r="B6" s="492"/>
      <c r="C6" s="492"/>
      <c r="D6" s="493"/>
      <c r="E6" s="493"/>
      <c r="F6" s="493"/>
      <c r="G6" s="493"/>
      <c r="H6" s="493"/>
      <c r="I6" s="493"/>
      <c r="J6" s="493"/>
      <c r="K6" s="493"/>
      <c r="L6" s="493"/>
      <c r="M6" s="493"/>
      <c r="N6" s="493"/>
      <c r="O6" s="493"/>
    </row>
    <row r="7" spans="1:21" s="17" customFormat="1" ht="15.75" customHeight="1" x14ac:dyDescent="0.2">
      <c r="A7" s="18"/>
      <c r="B7" s="494"/>
      <c r="C7" s="494"/>
      <c r="D7" s="493"/>
      <c r="E7" s="493"/>
      <c r="F7" s="493"/>
      <c r="G7" s="493"/>
      <c r="H7" s="493"/>
      <c r="I7" s="493"/>
      <c r="J7" s="493"/>
      <c r="K7" s="493"/>
      <c r="L7" s="493"/>
      <c r="M7" s="493"/>
      <c r="N7" s="493"/>
      <c r="O7" s="493"/>
    </row>
    <row r="8" spans="1:21" ht="15" customHeight="1" x14ac:dyDescent="0.2">
      <c r="B8" s="318"/>
      <c r="C8" s="318"/>
      <c r="D8" s="318"/>
      <c r="E8" s="318"/>
      <c r="F8" s="318"/>
      <c r="G8" s="318"/>
      <c r="H8" s="318"/>
      <c r="I8" s="318"/>
      <c r="J8" s="318"/>
      <c r="K8" s="318"/>
      <c r="L8" s="318"/>
      <c r="M8" s="318"/>
      <c r="N8" s="318"/>
      <c r="O8" s="318"/>
    </row>
    <row r="9" spans="1:21" s="7" customFormat="1" ht="33.75" customHeight="1" x14ac:dyDescent="0.2">
      <c r="B9" s="399" t="s">
        <v>0</v>
      </c>
      <c r="C9" s="497"/>
      <c r="D9" s="400" t="s">
        <v>73</v>
      </c>
      <c r="E9" s="400" t="s">
        <v>132</v>
      </c>
      <c r="F9" s="400" t="s">
        <v>177</v>
      </c>
      <c r="G9" s="400" t="s">
        <v>183</v>
      </c>
      <c r="H9" s="400" t="s">
        <v>200</v>
      </c>
      <c r="I9" s="400" t="s">
        <v>203</v>
      </c>
      <c r="J9" s="400" t="s">
        <v>211</v>
      </c>
      <c r="K9" s="400" t="s">
        <v>333</v>
      </c>
      <c r="L9" s="400" t="s">
        <v>350</v>
      </c>
      <c r="M9" s="400" t="s">
        <v>450</v>
      </c>
      <c r="N9" s="401" t="s">
        <v>511</v>
      </c>
      <c r="O9" s="402" t="s">
        <v>549</v>
      </c>
    </row>
    <row r="10" spans="1:21" s="9" customFormat="1" ht="24.75" customHeight="1" x14ac:dyDescent="0.2">
      <c r="B10" s="944" t="s">
        <v>83</v>
      </c>
      <c r="C10" s="380" t="s">
        <v>80</v>
      </c>
      <c r="D10" s="459">
        <v>18.747057389999995</v>
      </c>
      <c r="E10" s="459">
        <v>25.912012440000005</v>
      </c>
      <c r="F10" s="459">
        <v>19.657180610000001</v>
      </c>
      <c r="G10" s="459">
        <v>23.168867169999999</v>
      </c>
      <c r="H10" s="459">
        <v>20.966668500000001</v>
      </c>
      <c r="I10" s="459">
        <v>30.556121590000004</v>
      </c>
      <c r="J10" s="462">
        <v>21.575059740000047</v>
      </c>
      <c r="K10" s="459">
        <v>20.961328649999952</v>
      </c>
      <c r="L10" s="459">
        <v>20.989965670000007</v>
      </c>
      <c r="M10" s="462">
        <v>29.994878919999987</v>
      </c>
      <c r="N10" s="851">
        <v>26.907485699999935</v>
      </c>
      <c r="O10" s="463">
        <v>31.792947810000019</v>
      </c>
      <c r="Q10" s="103"/>
      <c r="R10" s="41"/>
      <c r="S10" s="41"/>
      <c r="T10" s="41"/>
      <c r="U10" s="41"/>
    </row>
    <row r="11" spans="1:21" s="9" customFormat="1" ht="24.75" customHeight="1" x14ac:dyDescent="0.2">
      <c r="B11" s="945"/>
      <c r="C11" s="380" t="s">
        <v>282</v>
      </c>
      <c r="D11" s="459">
        <v>8.6378586199999994</v>
      </c>
      <c r="E11" s="459">
        <v>9.6216372799999998</v>
      </c>
      <c r="F11" s="459">
        <v>9.8943955099999989</v>
      </c>
      <c r="G11" s="459">
        <v>11.204075929999998</v>
      </c>
      <c r="H11" s="459">
        <v>11.111915479999999</v>
      </c>
      <c r="I11" s="459">
        <v>11.301658049999993</v>
      </c>
      <c r="J11" s="462">
        <v>12.056728299999982</v>
      </c>
      <c r="K11" s="459">
        <v>12.910945210000031</v>
      </c>
      <c r="L11" s="459">
        <v>12.373387230000002</v>
      </c>
      <c r="M11" s="462">
        <v>12.622917339999987</v>
      </c>
      <c r="N11" s="851">
        <v>13.086975720000007</v>
      </c>
      <c r="O11" s="463">
        <v>12.739504220000022</v>
      </c>
      <c r="Q11" s="103"/>
      <c r="R11" s="41"/>
      <c r="S11" s="41"/>
      <c r="T11" s="41"/>
      <c r="U11" s="41"/>
    </row>
    <row r="12" spans="1:21" s="9" customFormat="1" ht="24.75" customHeight="1" x14ac:dyDescent="0.2">
      <c r="B12" s="945"/>
      <c r="C12" s="380" t="s">
        <v>283</v>
      </c>
      <c r="D12" s="459">
        <v>2.4410745700000005</v>
      </c>
      <c r="E12" s="459">
        <v>1.44E-2</v>
      </c>
      <c r="F12" s="459">
        <v>3.5766958299999998</v>
      </c>
      <c r="G12" s="459">
        <v>1.8257788699999999</v>
      </c>
      <c r="H12" s="459">
        <v>0.26500000000000001</v>
      </c>
      <c r="I12" s="459">
        <v>0.12077125000000001</v>
      </c>
      <c r="J12" s="462">
        <v>2.1760299999999999</v>
      </c>
      <c r="K12" s="459">
        <v>3.12940394</v>
      </c>
      <c r="L12" s="459">
        <v>4.9715417300000011</v>
      </c>
      <c r="M12" s="462">
        <v>0.66665640000000037</v>
      </c>
      <c r="N12" s="851">
        <v>0.255</v>
      </c>
      <c r="O12" s="463">
        <v>0.616313</v>
      </c>
      <c r="Q12" s="103"/>
      <c r="R12" s="41"/>
      <c r="S12" s="41"/>
      <c r="T12" s="41"/>
      <c r="U12" s="41"/>
    </row>
    <row r="13" spans="1:21" s="9" customFormat="1" ht="24.75" customHeight="1" x14ac:dyDescent="0.2">
      <c r="B13" s="946" t="s">
        <v>84</v>
      </c>
      <c r="C13" s="498" t="s">
        <v>81</v>
      </c>
      <c r="D13" s="499">
        <v>10.19825264</v>
      </c>
      <c r="E13" s="499">
        <v>11.5088355</v>
      </c>
      <c r="F13" s="499">
        <v>11.543977340000001</v>
      </c>
      <c r="G13" s="499">
        <v>13.023488169999997</v>
      </c>
      <c r="H13" s="499">
        <v>11.249653819999995</v>
      </c>
      <c r="I13" s="499">
        <v>11.652913560000009</v>
      </c>
      <c r="J13" s="500">
        <v>11.425354350000012</v>
      </c>
      <c r="K13" s="499">
        <v>15.388913589999968</v>
      </c>
      <c r="L13" s="499">
        <v>13.70282772</v>
      </c>
      <c r="M13" s="500">
        <v>14.253332159999999</v>
      </c>
      <c r="N13" s="853">
        <v>13.307822639999996</v>
      </c>
      <c r="O13" s="501">
        <v>21.014092510000008</v>
      </c>
      <c r="Q13" s="103"/>
      <c r="R13" s="41"/>
      <c r="S13" s="41"/>
      <c r="T13" s="41"/>
      <c r="U13" s="41"/>
    </row>
    <row r="14" spans="1:21" s="9" customFormat="1" ht="24.75" customHeight="1" x14ac:dyDescent="0.2">
      <c r="B14" s="945"/>
      <c r="C14" s="380" t="s">
        <v>284</v>
      </c>
      <c r="D14" s="459">
        <v>6.9446891700000002</v>
      </c>
      <c r="E14" s="459">
        <v>5.6101494800000014</v>
      </c>
      <c r="F14" s="459">
        <v>6.0930804800000002</v>
      </c>
      <c r="G14" s="459">
        <v>6.6170355399999998</v>
      </c>
      <c r="H14" s="459">
        <v>7.3991201240846483</v>
      </c>
      <c r="I14" s="459">
        <v>8.6718071559153618</v>
      </c>
      <c r="J14" s="462">
        <v>8.109751829999988</v>
      </c>
      <c r="K14" s="459">
        <v>12.261743939999986</v>
      </c>
      <c r="L14" s="459">
        <v>11.76488726</v>
      </c>
      <c r="M14" s="462">
        <v>12.357322129999993</v>
      </c>
      <c r="N14" s="851">
        <v>13.371358660000011</v>
      </c>
      <c r="O14" s="463">
        <v>14.410830580000018</v>
      </c>
      <c r="Q14" s="103"/>
      <c r="R14" s="41"/>
      <c r="S14" s="41"/>
      <c r="T14" s="41"/>
      <c r="U14" s="41"/>
    </row>
    <row r="15" spans="1:21" s="9" customFormat="1" ht="24.75" customHeight="1" x14ac:dyDescent="0.2">
      <c r="B15" s="947"/>
      <c r="C15" s="502" t="s">
        <v>82</v>
      </c>
      <c r="D15" s="503">
        <v>5.1470755999999991</v>
      </c>
      <c r="E15" s="503">
        <v>3.88239264</v>
      </c>
      <c r="F15" s="503">
        <v>4.16664089</v>
      </c>
      <c r="G15" s="503">
        <v>3.5176728299999995</v>
      </c>
      <c r="H15" s="503">
        <v>4.7348641299999983</v>
      </c>
      <c r="I15" s="503">
        <v>5.4350627300000047</v>
      </c>
      <c r="J15" s="504">
        <v>5.8839429600000059</v>
      </c>
      <c r="K15" s="503">
        <v>3.9372541899999978</v>
      </c>
      <c r="L15" s="503">
        <v>7.338402010000002</v>
      </c>
      <c r="M15" s="504">
        <v>6.2281842699999928</v>
      </c>
      <c r="N15" s="854">
        <v>5.0567845400000087</v>
      </c>
      <c r="O15" s="505">
        <v>6.4533602000000005</v>
      </c>
      <c r="Q15" s="103"/>
      <c r="R15" s="41"/>
      <c r="S15" s="41"/>
      <c r="T15" s="41"/>
      <c r="U15" s="41"/>
    </row>
    <row r="16" spans="1:21" s="9" customFormat="1" ht="24.75" customHeight="1" x14ac:dyDescent="0.35">
      <c r="B16" s="946" t="s">
        <v>355</v>
      </c>
      <c r="C16" s="763" t="s">
        <v>285</v>
      </c>
      <c r="D16" s="459">
        <v>18.480498999999988</v>
      </c>
      <c r="E16" s="459">
        <v>21.488274590000021</v>
      </c>
      <c r="F16" s="459">
        <v>22.47452383000001</v>
      </c>
      <c r="G16" s="459">
        <v>23.653770660000013</v>
      </c>
      <c r="H16" s="459">
        <v>21.251055369999989</v>
      </c>
      <c r="I16" s="459">
        <v>23.764253470000032</v>
      </c>
      <c r="J16" s="462">
        <v>27.457499059999979</v>
      </c>
      <c r="K16" s="459">
        <v>26.104076310000053</v>
      </c>
      <c r="L16" s="459">
        <v>25.529238529999983</v>
      </c>
      <c r="M16" s="462">
        <v>32.068742939999986</v>
      </c>
      <c r="N16" s="851">
        <v>31.20381618572452</v>
      </c>
      <c r="O16" s="463">
        <v>26.320772274275505</v>
      </c>
      <c r="Q16" s="103"/>
      <c r="R16" s="41"/>
      <c r="S16" s="41"/>
      <c r="T16" s="103"/>
      <c r="U16" s="41"/>
    </row>
    <row r="17" spans="2:21" s="9" customFormat="1" ht="24.75" customHeight="1" x14ac:dyDescent="0.35">
      <c r="B17" s="944"/>
      <c r="C17" s="763" t="s">
        <v>509</v>
      </c>
      <c r="D17" s="459">
        <v>13.539691280000003</v>
      </c>
      <c r="E17" s="459">
        <v>7.2992874399999961</v>
      </c>
      <c r="F17" s="459">
        <v>7.9016765800000002</v>
      </c>
      <c r="G17" s="459">
        <v>5.8349281299999936</v>
      </c>
      <c r="H17" s="459">
        <v>10.43776474</v>
      </c>
      <c r="I17" s="459">
        <v>9.3437632799999939</v>
      </c>
      <c r="J17" s="462">
        <v>8.9619188399999974</v>
      </c>
      <c r="K17" s="459">
        <v>12.196006300000025</v>
      </c>
      <c r="L17" s="459">
        <v>12.538069229999987</v>
      </c>
      <c r="M17" s="462">
        <v>31.883706760000038</v>
      </c>
      <c r="N17" s="851">
        <v>17.627682088499995</v>
      </c>
      <c r="O17" s="463">
        <v>13.972654061499908</v>
      </c>
      <c r="Q17" s="103"/>
      <c r="R17" s="41"/>
      <c r="S17" s="41"/>
      <c r="T17" s="103"/>
      <c r="U17" s="41"/>
    </row>
    <row r="18" spans="2:21" s="9" customFormat="1" ht="24.75" customHeight="1" x14ac:dyDescent="0.35">
      <c r="B18" s="944"/>
      <c r="C18" s="763" t="s">
        <v>85</v>
      </c>
      <c r="D18" s="459">
        <v>6.59795336</v>
      </c>
      <c r="E18" s="459">
        <v>6.6544690200000023</v>
      </c>
      <c r="F18" s="459">
        <v>6.2690952699999993</v>
      </c>
      <c r="G18" s="459">
        <v>4.2800840299999994</v>
      </c>
      <c r="H18" s="459">
        <v>5.6931923900000108</v>
      </c>
      <c r="I18" s="459">
        <v>6.2409262399999825</v>
      </c>
      <c r="J18" s="462">
        <v>6.2363567399999917</v>
      </c>
      <c r="K18" s="459">
        <v>3.3024689200000137</v>
      </c>
      <c r="L18" s="459">
        <v>5.7502876800000005</v>
      </c>
      <c r="M18" s="462">
        <v>6.2084622799999822</v>
      </c>
      <c r="N18" s="851">
        <v>4.9752584600000045</v>
      </c>
      <c r="O18" s="463">
        <v>5.7305902500000192</v>
      </c>
      <c r="Q18" s="103"/>
      <c r="R18" s="41"/>
      <c r="S18" s="41"/>
      <c r="T18" s="41"/>
      <c r="U18" s="41"/>
    </row>
    <row r="19" spans="2:21" s="9" customFormat="1" ht="24.75" customHeight="1" x14ac:dyDescent="0.35">
      <c r="B19" s="944"/>
      <c r="C19" s="763" t="s">
        <v>286</v>
      </c>
      <c r="D19" s="459">
        <v>6.1154870599999995</v>
      </c>
      <c r="E19" s="459">
        <v>8.5374561599999979</v>
      </c>
      <c r="F19" s="459">
        <v>10.06072981</v>
      </c>
      <c r="G19" s="459">
        <v>9.3668429</v>
      </c>
      <c r="H19" s="459">
        <v>7.1370408999999979</v>
      </c>
      <c r="I19" s="459">
        <v>7.6781423000000011</v>
      </c>
      <c r="J19" s="462">
        <v>8.7678750200000035</v>
      </c>
      <c r="K19" s="459">
        <v>7.4976376300000007</v>
      </c>
      <c r="L19" s="459">
        <v>6.9012271099999998</v>
      </c>
      <c r="M19" s="462">
        <v>8.0802019100000049</v>
      </c>
      <c r="N19" s="851">
        <v>7.6880291799999991</v>
      </c>
      <c r="O19" s="463">
        <v>7.1397608500000098</v>
      </c>
      <c r="Q19" s="103"/>
      <c r="R19" s="41"/>
      <c r="S19" s="41"/>
      <c r="T19" s="41"/>
      <c r="U19" s="41"/>
    </row>
    <row r="20" spans="2:21" ht="24.75" customHeight="1" x14ac:dyDescent="0.35">
      <c r="B20" s="948"/>
      <c r="C20" s="763" t="s">
        <v>41</v>
      </c>
      <c r="D20" s="459">
        <v>3.897188589999999</v>
      </c>
      <c r="E20" s="459">
        <v>4.6901889999999957</v>
      </c>
      <c r="F20" s="459">
        <v>6.0460764600000001</v>
      </c>
      <c r="G20" s="459">
        <v>4.8469875199999981</v>
      </c>
      <c r="H20" s="459">
        <v>4.4449892100000055</v>
      </c>
      <c r="I20" s="459">
        <v>5.7185073800000046</v>
      </c>
      <c r="J20" s="462">
        <v>7.6650106600000045</v>
      </c>
      <c r="K20" s="459">
        <v>4.917006099999977</v>
      </c>
      <c r="L20" s="459">
        <v>3.5131142099999968</v>
      </c>
      <c r="M20" s="462">
        <v>4.9890183500000047</v>
      </c>
      <c r="N20" s="851">
        <v>1.0994184199999999</v>
      </c>
      <c r="O20" s="463">
        <v>1.7304770199999902</v>
      </c>
      <c r="Q20" s="103"/>
      <c r="R20" s="41"/>
      <c r="S20" s="41"/>
      <c r="T20" s="41"/>
      <c r="U20" s="41"/>
    </row>
    <row r="21" spans="2:21" s="9" customFormat="1" ht="24.75" customHeight="1" x14ac:dyDescent="0.2">
      <c r="B21" s="511" t="s">
        <v>287</v>
      </c>
      <c r="C21" s="512"/>
      <c r="D21" s="513">
        <v>11.994999999999999</v>
      </c>
      <c r="E21" s="513">
        <v>15.875</v>
      </c>
      <c r="F21" s="513">
        <v>17.513000000000002</v>
      </c>
      <c r="G21" s="513">
        <v>18.486999999999998</v>
      </c>
      <c r="H21" s="513">
        <v>16.956</v>
      </c>
      <c r="I21" s="513">
        <v>20.922000000000001</v>
      </c>
      <c r="J21" s="514">
        <v>19.670000000000002</v>
      </c>
      <c r="K21" s="513">
        <v>20.99</v>
      </c>
      <c r="L21" s="513">
        <v>19.946999999999999</v>
      </c>
      <c r="M21" s="514">
        <v>19.885999999999999</v>
      </c>
      <c r="N21" s="855">
        <v>21.317130179999999</v>
      </c>
      <c r="O21" s="515">
        <v>25.41</v>
      </c>
      <c r="Q21" s="103"/>
      <c r="R21" s="41"/>
      <c r="S21" s="41"/>
      <c r="T21" s="41"/>
      <c r="U21" s="41"/>
    </row>
    <row r="22" spans="2:21" ht="24.75" customHeight="1" x14ac:dyDescent="0.2">
      <c r="B22" s="506" t="s">
        <v>86</v>
      </c>
      <c r="C22" s="507"/>
      <c r="D22" s="508">
        <f t="shared" ref="D22:K22" si="0">SUM(D10:D21)</f>
        <v>112.74182727999998</v>
      </c>
      <c r="E22" s="508">
        <f t="shared" si="0"/>
        <v>121.09410355000004</v>
      </c>
      <c r="F22" s="508">
        <f t="shared" si="0"/>
        <v>125.19707260999999</v>
      </c>
      <c r="G22" s="508">
        <f t="shared" si="0"/>
        <v>125.82653175</v>
      </c>
      <c r="H22" s="508">
        <f t="shared" si="0"/>
        <v>121.64726466408466</v>
      </c>
      <c r="I22" s="508">
        <f t="shared" si="0"/>
        <v>141.40592700591537</v>
      </c>
      <c r="J22" s="508">
        <f t="shared" si="0"/>
        <v>139.98552750000002</v>
      </c>
      <c r="K22" s="508">
        <f t="shared" si="0"/>
        <v>143.59678478000001</v>
      </c>
      <c r="L22" s="508">
        <f>SUM(L10:L21)</f>
        <v>145.31994837999997</v>
      </c>
      <c r="M22" s="508">
        <f t="shared" ref="M22:O22" si="1">SUM(M10:M21)</f>
        <v>179.23942345999998</v>
      </c>
      <c r="N22" s="509">
        <f t="shared" ref="N22" si="2">SUM(N10:N21)</f>
        <v>155.89676177422447</v>
      </c>
      <c r="O22" s="510">
        <f t="shared" si="1"/>
        <v>167.33130277577553</v>
      </c>
      <c r="Q22" s="103"/>
      <c r="R22" s="103"/>
      <c r="S22" s="41"/>
      <c r="T22" s="41"/>
      <c r="U22" s="41"/>
    </row>
    <row r="23" spans="2:21" ht="15" customHeight="1" x14ac:dyDescent="0.2">
      <c r="B23" s="495"/>
      <c r="C23" s="495"/>
      <c r="D23" s="496"/>
      <c r="E23" s="496"/>
      <c r="F23" s="496"/>
      <c r="G23" s="496"/>
      <c r="H23" s="496"/>
      <c r="I23" s="496"/>
      <c r="J23" s="496"/>
      <c r="K23" s="496"/>
      <c r="L23" s="496"/>
      <c r="M23" s="496"/>
      <c r="N23" s="496"/>
      <c r="O23" s="496"/>
      <c r="R23" s="41"/>
      <c r="S23" s="41"/>
      <c r="T23" s="41"/>
      <c r="U23" s="41"/>
    </row>
    <row r="24" spans="2:21" ht="28.5" customHeight="1" x14ac:dyDescent="0.2">
      <c r="B24" s="943"/>
      <c r="C24" s="943"/>
      <c r="D24" s="943"/>
      <c r="E24" s="943"/>
      <c r="F24" s="943"/>
      <c r="G24" s="943"/>
      <c r="H24" s="943"/>
      <c r="I24" s="943"/>
      <c r="J24" s="943"/>
      <c r="K24" s="943"/>
      <c r="L24" s="943"/>
      <c r="M24" s="943"/>
      <c r="N24" s="943"/>
      <c r="O24" s="943"/>
      <c r="R24" s="41"/>
      <c r="S24" s="41"/>
      <c r="T24" s="41"/>
      <c r="U24" s="41"/>
    </row>
    <row r="25" spans="2:21" ht="28.5" customHeight="1" x14ac:dyDescent="0.2">
      <c r="B25" s="943"/>
      <c r="C25" s="943"/>
      <c r="D25" s="943"/>
      <c r="E25" s="173"/>
      <c r="F25" s="173"/>
      <c r="G25" s="173"/>
      <c r="H25" s="173"/>
      <c r="I25" s="173"/>
      <c r="J25" s="173"/>
      <c r="K25" s="173"/>
      <c r="L25" s="173"/>
      <c r="M25" s="173"/>
      <c r="N25" s="173"/>
      <c r="O25" s="173"/>
      <c r="R25" s="41"/>
      <c r="S25" s="41"/>
      <c r="T25" s="41"/>
      <c r="U25" s="41"/>
    </row>
    <row r="26" spans="2:21" ht="11.25" customHeight="1" x14ac:dyDescent="0.2">
      <c r="R26" s="41"/>
      <c r="S26" s="41"/>
      <c r="T26" s="41"/>
      <c r="U26" s="41"/>
    </row>
    <row r="27" spans="2:21" x14ac:dyDescent="0.2">
      <c r="B27" s="37"/>
      <c r="C27" s="37"/>
      <c r="D27" s="38"/>
      <c r="E27" s="38"/>
      <c r="F27" s="38"/>
      <c r="G27" s="38"/>
      <c r="H27" s="38"/>
      <c r="I27" s="38"/>
      <c r="J27" s="38"/>
      <c r="K27" s="38"/>
      <c r="L27" s="38"/>
      <c r="M27" s="38"/>
      <c r="N27" s="38"/>
      <c r="O27" s="38"/>
      <c r="R27" s="41"/>
      <c r="S27" s="41"/>
      <c r="T27" s="41"/>
      <c r="U27" s="41"/>
    </row>
    <row r="28" spans="2:21" ht="34.5" customHeight="1" x14ac:dyDescent="0.2">
      <c r="B28" s="38"/>
      <c r="C28" s="38"/>
      <c r="D28" s="67"/>
      <c r="E28" s="67"/>
      <c r="F28" s="67"/>
      <c r="G28" s="67"/>
      <c r="H28" s="67"/>
      <c r="I28" s="67"/>
      <c r="J28" s="67"/>
      <c r="K28" s="67"/>
      <c r="L28" s="67"/>
      <c r="M28" s="67"/>
      <c r="N28" s="67"/>
      <c r="O28" s="38"/>
      <c r="R28" s="41"/>
      <c r="S28" s="41"/>
      <c r="T28" s="41"/>
      <c r="U28" s="41"/>
    </row>
    <row r="29" spans="2:21" x14ac:dyDescent="0.2">
      <c r="B29" s="38"/>
      <c r="C29" s="38"/>
      <c r="D29" s="38"/>
      <c r="E29" s="38"/>
      <c r="F29" s="38"/>
      <c r="G29" s="38"/>
      <c r="H29" s="38"/>
      <c r="I29" s="38"/>
      <c r="J29" s="38"/>
      <c r="K29" s="38"/>
      <c r="L29" s="38"/>
      <c r="M29" s="38"/>
      <c r="N29" s="38"/>
      <c r="O29" s="38"/>
    </row>
    <row r="30" spans="2:21" ht="24.75" customHeight="1" x14ac:dyDescent="0.2">
      <c r="B30" s="38"/>
      <c r="C30" s="38"/>
      <c r="D30" s="38"/>
      <c r="E30" s="38"/>
      <c r="F30" s="38"/>
      <c r="G30" s="38"/>
      <c r="H30" s="38"/>
      <c r="I30" s="38"/>
      <c r="J30" s="38"/>
      <c r="K30" s="38"/>
      <c r="L30" s="38"/>
      <c r="M30" s="38"/>
      <c r="N30" s="38"/>
      <c r="O30" s="38"/>
    </row>
  </sheetData>
  <mergeCells count="6">
    <mergeCell ref="B5:N5"/>
    <mergeCell ref="B25:D25"/>
    <mergeCell ref="B10:B12"/>
    <mergeCell ref="B13:B15"/>
    <mergeCell ref="B16:B20"/>
    <mergeCell ref="B24:O24"/>
  </mergeCells>
  <hyperlinks>
    <hyperlink ref="O2" location="'Cover '!A1" display="Back to Cover" xr:uid="{C5603B20-4257-40A1-AF78-FB7D46DFECC0}"/>
  </hyperlinks>
  <pageMargins left="0.7" right="0.7" top="0.75" bottom="0.75" header="0.3" footer="0.3"/>
  <pageSetup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S31"/>
  <sheetViews>
    <sheetView showGridLines="0" view="pageBreakPreview" zoomScale="80" zoomScaleNormal="90" zoomScaleSheetLayoutView="80" workbookViewId="0">
      <selection activeCell="R20" sqref="R20"/>
    </sheetView>
  </sheetViews>
  <sheetFormatPr defaultColWidth="9.140625" defaultRowHeight="15.75" x14ac:dyDescent="0.2"/>
  <cols>
    <col min="1" max="1" width="2.42578125" style="6" customWidth="1"/>
    <col min="2" max="2" width="61.28515625" style="6" customWidth="1"/>
    <col min="3" max="14" width="15.85546875" style="6" customWidth="1"/>
    <col min="15" max="15" width="2.42578125" style="6" customWidth="1"/>
    <col min="16" max="16384" width="9.140625" style="6"/>
  </cols>
  <sheetData>
    <row r="1" spans="1:19" ht="15.75" customHeight="1" x14ac:dyDescent="0.2"/>
    <row r="2" spans="1:19" ht="15.75" customHeight="1" x14ac:dyDescent="0.2">
      <c r="B2" s="120"/>
      <c r="C2" s="123"/>
      <c r="D2" s="123"/>
      <c r="E2" s="123"/>
      <c r="F2" s="123"/>
      <c r="G2" s="123"/>
      <c r="H2" s="123"/>
      <c r="I2" s="123"/>
      <c r="J2" s="123"/>
      <c r="K2" s="123"/>
      <c r="L2" s="123"/>
      <c r="M2" s="123"/>
      <c r="N2" s="122" t="s">
        <v>20</v>
      </c>
    </row>
    <row r="3" spans="1:19" ht="15.75" customHeight="1" x14ac:dyDescent="0.2">
      <c r="B3" s="120"/>
      <c r="C3" s="120"/>
      <c r="D3" s="120"/>
      <c r="E3" s="120"/>
      <c r="F3" s="120"/>
      <c r="G3" s="120"/>
      <c r="H3" s="120"/>
      <c r="I3" s="120"/>
      <c r="J3" s="120"/>
      <c r="K3" s="120"/>
      <c r="L3" s="120"/>
      <c r="M3" s="120"/>
      <c r="N3" s="120"/>
    </row>
    <row r="4" spans="1:19" ht="15.75" customHeight="1" x14ac:dyDescent="0.2">
      <c r="B4" s="120"/>
      <c r="C4" s="120"/>
      <c r="D4" s="120"/>
      <c r="E4" s="120"/>
      <c r="F4" s="120"/>
      <c r="G4" s="120"/>
      <c r="H4" s="120"/>
      <c r="I4" s="120"/>
      <c r="J4" s="120"/>
      <c r="K4" s="120"/>
      <c r="L4" s="120"/>
      <c r="M4" s="120"/>
      <c r="N4" s="120"/>
    </row>
    <row r="5" spans="1:19" s="17" customFormat="1" ht="28.5" x14ac:dyDescent="0.2">
      <c r="A5" s="16"/>
      <c r="B5" s="937" t="s">
        <v>484</v>
      </c>
      <c r="C5" s="941"/>
      <c r="D5" s="941"/>
      <c r="E5" s="941"/>
      <c r="F5" s="941"/>
      <c r="G5" s="941"/>
      <c r="H5" s="941"/>
      <c r="I5" s="941"/>
      <c r="J5" s="941"/>
      <c r="K5" s="941"/>
      <c r="L5" s="941"/>
      <c r="M5" s="941"/>
      <c r="N5" s="941"/>
    </row>
    <row r="6" spans="1:19" s="17" customFormat="1" ht="9" customHeight="1" x14ac:dyDescent="0.2">
      <c r="A6" s="16"/>
      <c r="B6" s="127"/>
      <c r="C6" s="126"/>
      <c r="D6" s="126"/>
      <c r="E6" s="126"/>
      <c r="F6" s="126"/>
      <c r="G6" s="126"/>
      <c r="H6" s="126"/>
      <c r="I6" s="126"/>
      <c r="J6" s="126"/>
      <c r="K6" s="126"/>
      <c r="L6" s="126"/>
      <c r="M6" s="126"/>
      <c r="N6" s="126"/>
    </row>
    <row r="7" spans="1:19" s="17" customFormat="1" ht="16.5" customHeight="1" x14ac:dyDescent="0.2">
      <c r="A7" s="16"/>
      <c r="B7" s="148" t="s">
        <v>0</v>
      </c>
      <c r="C7" s="493"/>
      <c r="D7" s="493"/>
      <c r="E7" s="493"/>
      <c r="F7" s="493"/>
      <c r="G7" s="493"/>
      <c r="H7" s="493"/>
      <c r="I7" s="493"/>
      <c r="J7" s="493"/>
      <c r="K7" s="493"/>
      <c r="L7" s="493"/>
      <c r="M7" s="493"/>
      <c r="N7" s="493"/>
    </row>
    <row r="8" spans="1:19" s="17" customFormat="1" ht="22.5" customHeight="1" x14ac:dyDescent="0.2">
      <c r="A8" s="16"/>
      <c r="B8" s="357" t="s">
        <v>329</v>
      </c>
      <c r="C8" s="400" t="s">
        <v>73</v>
      </c>
      <c r="D8" s="400" t="s">
        <v>132</v>
      </c>
      <c r="E8" s="400" t="s">
        <v>177</v>
      </c>
      <c r="F8" s="400" t="s">
        <v>183</v>
      </c>
      <c r="G8" s="400" t="s">
        <v>200</v>
      </c>
      <c r="H8" s="400" t="s">
        <v>203</v>
      </c>
      <c r="I8" s="400" t="s">
        <v>211</v>
      </c>
      <c r="J8" s="400" t="s">
        <v>333</v>
      </c>
      <c r="K8" s="400" t="s">
        <v>350</v>
      </c>
      <c r="L8" s="400" t="s">
        <v>450</v>
      </c>
      <c r="M8" s="401" t="s">
        <v>511</v>
      </c>
      <c r="N8" s="402" t="s">
        <v>549</v>
      </c>
    </row>
    <row r="9" spans="1:19" s="17" customFormat="1" ht="22.5" customHeight="1" x14ac:dyDescent="0.2">
      <c r="A9" s="16"/>
      <c r="B9" s="364" t="s">
        <v>220</v>
      </c>
      <c r="C9" s="152">
        <v>91.200999999999993</v>
      </c>
      <c r="D9" s="152">
        <v>94.555000000000007</v>
      </c>
      <c r="E9" s="152">
        <v>101.38835</v>
      </c>
      <c r="F9" s="152">
        <v>101.642</v>
      </c>
      <c r="G9" s="152">
        <v>93.546999999999997</v>
      </c>
      <c r="H9" s="152">
        <v>94.395492999999988</v>
      </c>
      <c r="I9" s="153">
        <v>94.291753999999997</v>
      </c>
      <c r="J9" s="152">
        <v>104.846</v>
      </c>
      <c r="K9" s="152">
        <v>91.264696119999996</v>
      </c>
      <c r="L9" s="153">
        <v>96.511590500000011</v>
      </c>
      <c r="M9" s="850">
        <v>99.817747249999996</v>
      </c>
      <c r="N9" s="241">
        <v>113.06530776</v>
      </c>
    </row>
    <row r="10" spans="1:19" s="17" customFormat="1" ht="22.5" customHeight="1" x14ac:dyDescent="0.2">
      <c r="A10" s="16"/>
      <c r="B10" s="364" t="s">
        <v>221</v>
      </c>
      <c r="C10" s="153">
        <v>0</v>
      </c>
      <c r="D10" s="152">
        <v>6.6</v>
      </c>
      <c r="E10" s="152">
        <v>19.877649999999999</v>
      </c>
      <c r="F10" s="152">
        <v>30.314</v>
      </c>
      <c r="G10" s="152">
        <v>3.1720000000000002</v>
      </c>
      <c r="H10" s="152">
        <v>2.1745070000000002</v>
      </c>
      <c r="I10" s="153">
        <v>1.066246</v>
      </c>
      <c r="J10" s="152">
        <v>55.484999999999999</v>
      </c>
      <c r="K10" s="152">
        <v>9.6033038800000003</v>
      </c>
      <c r="L10" s="153">
        <v>4.2904095</v>
      </c>
      <c r="M10" s="850">
        <v>1.837108</v>
      </c>
      <c r="N10" s="241">
        <v>38.653692239999998</v>
      </c>
    </row>
    <row r="11" spans="1:19" s="17" customFormat="1" ht="22.5" customHeight="1" x14ac:dyDescent="0.2">
      <c r="A11" s="16"/>
      <c r="B11" s="364" t="s">
        <v>466</v>
      </c>
      <c r="C11" s="152"/>
      <c r="D11" s="152"/>
      <c r="E11" s="152"/>
      <c r="F11" s="152"/>
      <c r="G11" s="152"/>
      <c r="H11" s="152"/>
      <c r="I11" s="153">
        <v>-15</v>
      </c>
      <c r="J11" s="152">
        <f>4.396+3.768</f>
        <v>8.1639999999999997</v>
      </c>
      <c r="K11" s="152"/>
      <c r="L11" s="153"/>
      <c r="M11" s="850"/>
      <c r="N11" s="241"/>
    </row>
    <row r="12" spans="1:19" s="17" customFormat="1" ht="22.5" customHeight="1" x14ac:dyDescent="0.2">
      <c r="A12" s="16"/>
      <c r="B12" s="518" t="s">
        <v>86</v>
      </c>
      <c r="C12" s="519">
        <f t="shared" ref="C12:H12" si="0">C9+C10+C11</f>
        <v>91.200999999999993</v>
      </c>
      <c r="D12" s="519">
        <f t="shared" si="0"/>
        <v>101.155</v>
      </c>
      <c r="E12" s="519">
        <f t="shared" si="0"/>
        <v>121.26600000000001</v>
      </c>
      <c r="F12" s="519">
        <f t="shared" si="0"/>
        <v>131.95599999999999</v>
      </c>
      <c r="G12" s="519">
        <f t="shared" si="0"/>
        <v>96.718999999999994</v>
      </c>
      <c r="H12" s="519">
        <f t="shared" si="0"/>
        <v>96.57</v>
      </c>
      <c r="I12" s="519">
        <f t="shared" ref="I12:N12" si="1">I9+I10+I11</f>
        <v>80.358000000000004</v>
      </c>
      <c r="J12" s="519">
        <f t="shared" si="1"/>
        <v>168.495</v>
      </c>
      <c r="K12" s="519">
        <f t="shared" si="1"/>
        <v>100.86799999999999</v>
      </c>
      <c r="L12" s="519">
        <f t="shared" si="1"/>
        <v>100.80200000000001</v>
      </c>
      <c r="M12" s="520">
        <f t="shared" si="1"/>
        <v>101.65485525</v>
      </c>
      <c r="N12" s="521">
        <f t="shared" si="1"/>
        <v>151.71899999999999</v>
      </c>
      <c r="Q12" s="104"/>
    </row>
    <row r="13" spans="1:19" ht="15" customHeight="1" x14ac:dyDescent="0.2">
      <c r="B13" s="318"/>
      <c r="C13" s="318"/>
      <c r="D13" s="318"/>
      <c r="E13" s="318"/>
      <c r="F13" s="318"/>
      <c r="G13" s="318"/>
      <c r="H13" s="318"/>
      <c r="I13" s="318"/>
      <c r="J13" s="318"/>
      <c r="K13" s="318"/>
      <c r="L13" s="318"/>
      <c r="M13" s="318"/>
      <c r="N13" s="318"/>
    </row>
    <row r="14" spans="1:19" s="7" customFormat="1" ht="33.75" customHeight="1" x14ac:dyDescent="0.2">
      <c r="B14" s="357" t="s">
        <v>330</v>
      </c>
      <c r="C14" s="400" t="s">
        <v>73</v>
      </c>
      <c r="D14" s="400" t="s">
        <v>132</v>
      </c>
      <c r="E14" s="400" t="s">
        <v>177</v>
      </c>
      <c r="F14" s="400" t="s">
        <v>183</v>
      </c>
      <c r="G14" s="400" t="s">
        <v>200</v>
      </c>
      <c r="H14" s="400" t="s">
        <v>203</v>
      </c>
      <c r="I14" s="400" t="s">
        <v>211</v>
      </c>
      <c r="J14" s="400" t="s">
        <v>333</v>
      </c>
      <c r="K14" s="400" t="s">
        <v>350</v>
      </c>
      <c r="L14" s="400" t="s">
        <v>450</v>
      </c>
      <c r="M14" s="401" t="s">
        <v>511</v>
      </c>
      <c r="N14" s="402" t="s">
        <v>549</v>
      </c>
    </row>
    <row r="15" spans="1:19" s="9" customFormat="1" ht="24.75" customHeight="1" x14ac:dyDescent="0.2">
      <c r="B15" s="151" t="s">
        <v>87</v>
      </c>
      <c r="C15" s="462">
        <v>9.1491827900000011</v>
      </c>
      <c r="D15" s="459">
        <v>8.9277500299999968</v>
      </c>
      <c r="E15" s="459">
        <v>9.1058882199999971</v>
      </c>
      <c r="F15" s="459">
        <v>8.7774162600000007</v>
      </c>
      <c r="G15" s="459">
        <v>8.0531509700000008</v>
      </c>
      <c r="H15" s="459">
        <v>7.6713768600000005</v>
      </c>
      <c r="I15" s="462">
        <v>8.8783103200000024</v>
      </c>
      <c r="J15" s="459">
        <v>5.5882152099999871</v>
      </c>
      <c r="K15" s="459">
        <v>6.5122675299999999</v>
      </c>
      <c r="L15" s="462">
        <v>6.7163214799999986</v>
      </c>
      <c r="M15" s="851">
        <v>6.6413637200000029</v>
      </c>
      <c r="N15" s="463">
        <v>5.841734559999999</v>
      </c>
      <c r="P15" s="39"/>
      <c r="Q15" s="913"/>
      <c r="R15" s="913"/>
      <c r="S15" s="39"/>
    </row>
    <row r="16" spans="1:19" s="9" customFormat="1" ht="24.75" customHeight="1" x14ac:dyDescent="0.2">
      <c r="B16" s="151" t="s">
        <v>180</v>
      </c>
      <c r="C16" s="517">
        <v>12.23865148689897</v>
      </c>
      <c r="D16" s="459">
        <v>7.0013185064323906</v>
      </c>
      <c r="E16" s="459">
        <v>10.427544325253043</v>
      </c>
      <c r="F16" s="459">
        <v>2.1857145914156173</v>
      </c>
      <c r="G16" s="459">
        <v>8.4105638899999988</v>
      </c>
      <c r="H16" s="459">
        <v>8.7321245800000007</v>
      </c>
      <c r="I16" s="462">
        <v>8.8831526899999993</v>
      </c>
      <c r="J16" s="459">
        <v>4.6571033499999999</v>
      </c>
      <c r="K16" s="459">
        <v>9.0210918300000014</v>
      </c>
      <c r="L16" s="462">
        <v>7.6572765000000009</v>
      </c>
      <c r="M16" s="851">
        <v>7.991231379999995</v>
      </c>
      <c r="N16" s="463">
        <v>7.3629195200000002</v>
      </c>
      <c r="P16" s="39"/>
      <c r="Q16" s="913"/>
      <c r="R16" s="913"/>
      <c r="S16" s="39"/>
    </row>
    <row r="17" spans="2:19" s="9" customFormat="1" ht="24.75" customHeight="1" x14ac:dyDescent="0.2">
      <c r="B17" s="151" t="s">
        <v>288</v>
      </c>
      <c r="C17" s="517">
        <v>1.4526504999999998</v>
      </c>
      <c r="D17" s="459">
        <v>4.7193650199999997</v>
      </c>
      <c r="E17" s="459">
        <v>6.7336891099999994</v>
      </c>
      <c r="F17" s="459">
        <v>3.9512580700000024</v>
      </c>
      <c r="G17" s="459">
        <v>2.4969789900000006</v>
      </c>
      <c r="H17" s="459">
        <v>4.6966844500000002</v>
      </c>
      <c r="I17" s="462">
        <v>4.6484115300000015</v>
      </c>
      <c r="J17" s="459">
        <v>6.1518750799999875</v>
      </c>
      <c r="K17" s="459">
        <v>2.384275060000002</v>
      </c>
      <c r="L17" s="462">
        <v>4.6346469599999978</v>
      </c>
      <c r="M17" s="851">
        <v>9.3269085290000007</v>
      </c>
      <c r="N17" s="463">
        <v>10.07811298</v>
      </c>
      <c r="P17" s="39"/>
      <c r="Q17" s="913"/>
      <c r="R17" s="913"/>
      <c r="S17" s="39"/>
    </row>
    <row r="18" spans="2:19" s="9" customFormat="1" ht="24.75" customHeight="1" x14ac:dyDescent="0.2">
      <c r="B18" s="151" t="s">
        <v>88</v>
      </c>
      <c r="C18" s="462">
        <v>5.6960382899999997</v>
      </c>
      <c r="D18" s="459">
        <v>6.8272304900000025</v>
      </c>
      <c r="E18" s="459">
        <v>5.617365559999997</v>
      </c>
      <c r="F18" s="459">
        <v>7.3490312100000024</v>
      </c>
      <c r="G18" s="459">
        <v>5.5108601699999999</v>
      </c>
      <c r="H18" s="459">
        <v>6.3258532700000023</v>
      </c>
      <c r="I18" s="462">
        <v>5.9950702399999996</v>
      </c>
      <c r="J18" s="459">
        <v>7.2667043599999976</v>
      </c>
      <c r="K18" s="459">
        <v>6.3150429799999994</v>
      </c>
      <c r="L18" s="462">
        <v>9.5400191999999997</v>
      </c>
      <c r="M18" s="851">
        <v>7.3300495800000007</v>
      </c>
      <c r="N18" s="463">
        <v>7.4460660599999997</v>
      </c>
      <c r="P18" s="39"/>
      <c r="Q18" s="913"/>
      <c r="R18" s="913"/>
      <c r="S18" s="39"/>
    </row>
    <row r="19" spans="2:19" s="9" customFormat="1" ht="24.75" customHeight="1" x14ac:dyDescent="0.2">
      <c r="B19" s="151" t="s">
        <v>89</v>
      </c>
      <c r="C19" s="462">
        <v>15.944120112365024</v>
      </c>
      <c r="D19" s="459">
        <v>16.34322740811162</v>
      </c>
      <c r="E19" s="459">
        <v>13.387627021738986</v>
      </c>
      <c r="F19" s="459">
        <v>13.785119617784353</v>
      </c>
      <c r="G19" s="459">
        <v>20.148815599999999</v>
      </c>
      <c r="H19" s="459">
        <v>17.595336230000001</v>
      </c>
      <c r="I19" s="462">
        <v>9.3121021699999957</v>
      </c>
      <c r="J19" s="459">
        <v>13.211706700000001</v>
      </c>
      <c r="K19" s="459">
        <v>24.069207430000006</v>
      </c>
      <c r="L19" s="462">
        <v>13.258684430000002</v>
      </c>
      <c r="M19" s="851">
        <v>12.814937989999997</v>
      </c>
      <c r="N19" s="463">
        <v>11.490254570000005</v>
      </c>
      <c r="P19" s="39"/>
      <c r="Q19" s="913"/>
      <c r="R19" s="913"/>
      <c r="S19" s="39"/>
    </row>
    <row r="20" spans="2:19" s="9" customFormat="1" ht="24.75" customHeight="1" x14ac:dyDescent="0.2">
      <c r="B20" s="151" t="s">
        <v>90</v>
      </c>
      <c r="C20" s="462">
        <v>12.423029509999999</v>
      </c>
      <c r="D20" s="459">
        <v>14.65350771</v>
      </c>
      <c r="E20" s="459">
        <v>16.840640090000001</v>
      </c>
      <c r="F20" s="459">
        <v>14.821558710000005</v>
      </c>
      <c r="G20" s="459">
        <v>11.79499994</v>
      </c>
      <c r="H20" s="459">
        <v>6.2131720600000016</v>
      </c>
      <c r="I20" s="462">
        <v>9.0040859999999974</v>
      </c>
      <c r="J20" s="459">
        <v>-7.4928298699999978</v>
      </c>
      <c r="K20" s="459">
        <v>0.26867770000000002</v>
      </c>
      <c r="L20" s="462">
        <v>0.26867770000000002</v>
      </c>
      <c r="M20" s="851">
        <v>0.80603309999999995</v>
      </c>
      <c r="N20" s="463">
        <v>0.22339217</v>
      </c>
      <c r="P20" s="39"/>
      <c r="Q20" s="913"/>
      <c r="R20" s="913"/>
      <c r="S20" s="39"/>
    </row>
    <row r="21" spans="2:19" s="9" customFormat="1" ht="24.75" customHeight="1" x14ac:dyDescent="0.2">
      <c r="B21" s="151" t="s">
        <v>467</v>
      </c>
      <c r="C21" s="462">
        <v>17.186469950000003</v>
      </c>
      <c r="D21" s="459">
        <v>18.078523340000004</v>
      </c>
      <c r="E21" s="459">
        <v>19.585991219999997</v>
      </c>
      <c r="F21" s="462">
        <v>26.525910279999991</v>
      </c>
      <c r="G21" s="459">
        <v>16.1404703</v>
      </c>
      <c r="H21" s="459">
        <v>17.173024129999995</v>
      </c>
      <c r="I21" s="462">
        <v>19.223604030000011</v>
      </c>
      <c r="J21" s="459">
        <v>25.974879629999993</v>
      </c>
      <c r="K21" s="459">
        <v>15.055410990000002</v>
      </c>
      <c r="L21" s="462">
        <v>22.42502743999999</v>
      </c>
      <c r="M21" s="851">
        <v>22.650644051</v>
      </c>
      <c r="N21" s="463">
        <v>27.605042178999998</v>
      </c>
      <c r="P21" s="39"/>
      <c r="Q21" s="913"/>
      <c r="R21" s="913"/>
      <c r="S21" s="39"/>
    </row>
    <row r="22" spans="2:19" s="9" customFormat="1" ht="24.75" customHeight="1" x14ac:dyDescent="0.2">
      <c r="B22" s="151" t="s">
        <v>91</v>
      </c>
      <c r="C22" s="462">
        <v>7.2288894100000105</v>
      </c>
      <c r="D22" s="459">
        <v>10.601059809999992</v>
      </c>
      <c r="E22" s="459">
        <v>3.4865600999999913</v>
      </c>
      <c r="F22" s="462">
        <v>6.4866712500000148</v>
      </c>
      <c r="G22" s="459">
        <v>10.601301599999999</v>
      </c>
      <c r="H22" s="459">
        <v>10.020759660000005</v>
      </c>
      <c r="I22" s="462">
        <v>7.7644801400000052</v>
      </c>
      <c r="J22" s="459">
        <v>8.8770842099999605</v>
      </c>
      <c r="K22" s="459">
        <v>9.2650941700000011</v>
      </c>
      <c r="L22" s="462">
        <v>8.7544836599999982</v>
      </c>
      <c r="M22" s="851">
        <v>7.4450812900000587</v>
      </c>
      <c r="N22" s="463">
        <v>11.447448470999941</v>
      </c>
      <c r="P22" s="39"/>
      <c r="Q22" s="913"/>
      <c r="R22" s="913"/>
      <c r="S22" s="39"/>
    </row>
    <row r="23" spans="2:19" s="9" customFormat="1" ht="24.75" customHeight="1" x14ac:dyDescent="0.2">
      <c r="B23" s="522" t="s">
        <v>319</v>
      </c>
      <c r="C23" s="523">
        <f t="shared" ref="C23:H23" si="2">SUM(C15:C22)</f>
        <v>81.31903204926401</v>
      </c>
      <c r="D23" s="523">
        <f t="shared" si="2"/>
        <v>87.151982314544014</v>
      </c>
      <c r="E23" s="523">
        <f t="shared" si="2"/>
        <v>85.18530564699202</v>
      </c>
      <c r="F23" s="523">
        <f t="shared" si="2"/>
        <v>83.882679989199985</v>
      </c>
      <c r="G23" s="523">
        <f t="shared" si="2"/>
        <v>83.157141460000005</v>
      </c>
      <c r="H23" s="523">
        <f t="shared" si="2"/>
        <v>78.428331240000006</v>
      </c>
      <c r="I23" s="523">
        <f t="shared" ref="I23:N23" si="3">SUM(I15:I22)</f>
        <v>73.709217120000019</v>
      </c>
      <c r="J23" s="523">
        <f t="shared" si="3"/>
        <v>64.234738669999928</v>
      </c>
      <c r="K23" s="523">
        <f t="shared" si="3"/>
        <v>72.891067690000014</v>
      </c>
      <c r="L23" s="523">
        <f t="shared" si="3"/>
        <v>73.25513737</v>
      </c>
      <c r="M23" s="524">
        <f t="shared" si="3"/>
        <v>75.006249640000064</v>
      </c>
      <c r="N23" s="735">
        <f t="shared" si="3"/>
        <v>81.494970509999945</v>
      </c>
      <c r="P23" s="39"/>
      <c r="Q23" s="913"/>
      <c r="R23" s="913"/>
      <c r="S23" s="39"/>
    </row>
    <row r="24" spans="2:19" ht="24.75" customHeight="1" x14ac:dyDescent="0.2">
      <c r="B24" s="529" t="s">
        <v>219</v>
      </c>
      <c r="C24" s="530"/>
      <c r="D24" s="531"/>
      <c r="E24" s="531"/>
      <c r="F24" s="531"/>
      <c r="G24" s="531"/>
      <c r="H24" s="531"/>
      <c r="I24" s="530">
        <v>15.5</v>
      </c>
      <c r="J24" s="531"/>
      <c r="K24" s="531"/>
      <c r="L24" s="530"/>
      <c r="M24" s="852"/>
      <c r="N24" s="532"/>
      <c r="P24" s="39"/>
      <c r="Q24" s="90"/>
      <c r="R24" s="53"/>
      <c r="S24" s="39"/>
    </row>
    <row r="25" spans="2:19" s="9" customFormat="1" ht="24.75" customHeight="1" x14ac:dyDescent="0.2">
      <c r="B25" s="525" t="s">
        <v>86</v>
      </c>
      <c r="C25" s="526">
        <f t="shared" ref="C25:G25" si="4">C23</f>
        <v>81.31903204926401</v>
      </c>
      <c r="D25" s="526">
        <f t="shared" si="4"/>
        <v>87.151982314544014</v>
      </c>
      <c r="E25" s="526">
        <f t="shared" si="4"/>
        <v>85.18530564699202</v>
      </c>
      <c r="F25" s="526">
        <f t="shared" si="4"/>
        <v>83.882679989199985</v>
      </c>
      <c r="G25" s="526">
        <f t="shared" si="4"/>
        <v>83.157141460000005</v>
      </c>
      <c r="H25" s="526">
        <f>H23</f>
        <v>78.428331240000006</v>
      </c>
      <c r="I25" s="526">
        <f t="shared" ref="I25:M25" si="5">SUM(I23:I24)</f>
        <v>89.209217120000019</v>
      </c>
      <c r="J25" s="526">
        <f t="shared" si="5"/>
        <v>64.234738669999928</v>
      </c>
      <c r="K25" s="526">
        <f t="shared" si="5"/>
        <v>72.891067690000014</v>
      </c>
      <c r="L25" s="526">
        <f t="shared" si="5"/>
        <v>73.25513737</v>
      </c>
      <c r="M25" s="527">
        <f t="shared" si="5"/>
        <v>75.006249640000064</v>
      </c>
      <c r="N25" s="528">
        <f>SUM(N23:N24)</f>
        <v>81.494970509999945</v>
      </c>
      <c r="P25" s="39"/>
      <c r="Q25" s="90"/>
      <c r="R25" s="53"/>
      <c r="S25" s="39"/>
    </row>
    <row r="26" spans="2:19" ht="15" customHeight="1" x14ac:dyDescent="0.2">
      <c r="B26" s="495"/>
      <c r="C26" s="496"/>
      <c r="D26" s="496"/>
      <c r="E26" s="496"/>
      <c r="F26" s="496"/>
      <c r="G26" s="496"/>
      <c r="H26" s="496"/>
      <c r="I26" s="496"/>
      <c r="J26" s="496"/>
      <c r="K26" s="496"/>
      <c r="L26" s="496"/>
      <c r="M26" s="496"/>
      <c r="N26" s="496"/>
      <c r="O26" s="45"/>
      <c r="P26" s="39"/>
    </row>
    <row r="27" spans="2:19" ht="17.25" customHeight="1" x14ac:dyDescent="0.2">
      <c r="B27" s="383" t="s">
        <v>528</v>
      </c>
      <c r="C27" s="173"/>
      <c r="D27" s="173"/>
      <c r="E27" s="173"/>
      <c r="F27" s="173"/>
      <c r="G27" s="173"/>
      <c r="H27" s="173"/>
      <c r="I27" s="173"/>
      <c r="J27" s="173"/>
      <c r="K27" s="173"/>
      <c r="L27" s="173"/>
      <c r="M27" s="173"/>
      <c r="N27" s="173"/>
      <c r="O27" s="100"/>
    </row>
    <row r="28" spans="2:19" ht="17.25" customHeight="1" x14ac:dyDescent="0.2">
      <c r="B28" s="949" t="s">
        <v>529</v>
      </c>
      <c r="C28" s="949"/>
      <c r="D28" s="949"/>
      <c r="E28" s="949"/>
      <c r="F28" s="949"/>
      <c r="G28" s="949"/>
      <c r="H28" s="949"/>
      <c r="I28" s="949"/>
      <c r="J28" s="949"/>
      <c r="K28" s="949"/>
      <c r="L28" s="949"/>
      <c r="M28" s="949"/>
      <c r="N28" s="949"/>
    </row>
    <row r="29" spans="2:19" ht="15" customHeight="1" x14ac:dyDescent="0.2">
      <c r="B29" s="516"/>
      <c r="C29" s="516"/>
      <c r="D29" s="516"/>
      <c r="E29" s="516"/>
      <c r="F29" s="516"/>
      <c r="G29" s="516"/>
      <c r="H29" s="516"/>
      <c r="I29" s="516"/>
      <c r="J29" s="516"/>
      <c r="K29" s="516"/>
      <c r="L29" s="516"/>
      <c r="M29" s="516"/>
      <c r="N29" s="516"/>
    </row>
    <row r="30" spans="2:19" x14ac:dyDescent="0.2">
      <c r="B30" s="38"/>
      <c r="C30" s="67"/>
      <c r="D30" s="67"/>
      <c r="E30" s="67"/>
      <c r="F30" s="67"/>
      <c r="G30" s="67"/>
      <c r="H30" s="67"/>
      <c r="I30" s="67"/>
      <c r="J30" s="67"/>
      <c r="K30" s="67"/>
      <c r="L30" s="67"/>
      <c r="M30" s="67"/>
      <c r="N30" s="38"/>
    </row>
    <row r="31" spans="2:19" ht="24.75" customHeight="1" x14ac:dyDescent="0.2">
      <c r="B31" s="38"/>
      <c r="C31" s="38"/>
      <c r="D31" s="38"/>
      <c r="E31" s="38"/>
      <c r="F31" s="38"/>
      <c r="G31" s="38"/>
      <c r="H31" s="38"/>
      <c r="I31" s="38"/>
      <c r="J31" s="38"/>
      <c r="K31" s="38"/>
      <c r="L31" s="38"/>
      <c r="M31" s="38"/>
      <c r="N31" s="38"/>
    </row>
  </sheetData>
  <mergeCells count="2">
    <mergeCell ref="B5:N5"/>
    <mergeCell ref="B28:N28"/>
  </mergeCells>
  <hyperlinks>
    <hyperlink ref="N2" location="'Cover '!A1" display="Back to Cover" xr:uid="{7D25B963-41F9-47CA-8282-B5E2D66E19C1}"/>
  </hyperlinks>
  <pageMargins left="0.7" right="0.7" top="0.75" bottom="0.75" header="0.3" footer="0.3"/>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Debt securities</vt:lpstr>
      <vt:lpstr>Synthetic securitizations</vt:lpstr>
      <vt:lpstr>Other information</vt:lpstr>
      <vt:lpstr>NPE_flow_decomposition</vt:lpstr>
      <vt:lpstr>' Analysis of selected BS items'!Print_Area</vt:lpstr>
      <vt:lpstr>'Balance sheet'!Print_Area</vt:lpstr>
      <vt:lpstr>'Capital adequacy'!Print_Area</vt:lpstr>
      <vt:lpstr>'Cover '!Print_Area</vt:lpstr>
      <vt:lpstr>'Debt securities'!Print_Area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2024-05-22T12:22:07Z</cp:lastPrinted>
  <dcterms:created xsi:type="dcterms:W3CDTF">2005-02-23T10:11:28Z</dcterms:created>
  <dcterms:modified xsi:type="dcterms:W3CDTF">2025-02-24T07:12:26Z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