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24226"/>
  <mc:AlternateContent xmlns:mc="http://schemas.openxmlformats.org/markup-compatibility/2006">
    <mc:Choice Requires="x15">
      <x15ac:absPath xmlns:x15ac="http://schemas.microsoft.com/office/spreadsheetml/2010/11/ac" url="K:\ΣΤΟΙΧΕΙΑ ΤΡΙΜΗΝΙΑΙΑ\ΣΥΓΚΕΝΤΡΩΤΙΚΑ ΑΡΧΕΙΑ\IR Tool Website\2025\Q4.25\"/>
    </mc:Choice>
  </mc:AlternateContent>
  <xr:revisionPtr revIDLastSave="0" documentId="8_{996F27C9-FE2F-456C-868E-AA47BB250F4F}" xr6:coauthVersionLast="47" xr6:coauthVersionMax="47" xr10:uidLastSave="{00000000-0000-0000-0000-000000000000}"/>
  <bookViews>
    <workbookView xWindow="-108" yWindow="-108" windowWidth="23256" windowHeight="12456" tabRatio="670" xr2:uid="{00000000-000D-0000-FFFF-FFFF00000000}"/>
  </bookViews>
  <sheets>
    <sheet name="Cover " sheetId="22" r:id="rId1"/>
    <sheet name="Financial highlights" sheetId="49" r:id="rId2"/>
    <sheet name="EPS calculations" sheetId="50" r:id="rId3"/>
    <sheet name="Balance sheet" sheetId="33" r:id="rId4"/>
    <sheet name=" Analysis of selected BS items" sheetId="34" r:id="rId5"/>
    <sheet name="PL" sheetId="29" r:id="rId6"/>
    <sheet name="NII" sheetId="42" r:id="rId7"/>
    <sheet name="NFI" sheetId="41" r:id="rId8"/>
    <sheet name="OPEX" sheetId="43" r:id="rId9"/>
    <sheet name="PL segment view" sheetId="47" r:id="rId10"/>
    <sheet name="PL Snappi" sheetId="57" r:id="rId11"/>
    <sheet name="Net credit expansion" sheetId="56" r:id="rId12"/>
    <sheet name="Performing loans" sheetId="48" r:id="rId13"/>
    <sheet name="Loan portfolio quality" sheetId="36" r:id="rId14"/>
    <sheet name="IFRS9 stages" sheetId="46" r:id="rId15"/>
    <sheet name="NPE flow decomposition" sheetId="51" r:id="rId16"/>
    <sheet name="Capital adequacy" sheetId="40" r:id="rId17"/>
    <sheet name="Ethniki Insurance" sheetId="58" r:id="rId18"/>
    <sheet name="Debt securities" sheetId="52" r:id="rId19"/>
    <sheet name="Synthetic securitizations" sheetId="53" r:id="rId20"/>
    <sheet name="Dividends &amp; share buy back" sheetId="54" r:id="rId21"/>
    <sheet name="Customers' data" sheetId="55" r:id="rId22"/>
    <sheet name="Other information" sheetId="35" r:id="rId23"/>
  </sheets>
  <definedNames>
    <definedName name="NPE_flow_decomposition">'Cover '!$E$32</definedName>
    <definedName name="_xlnm.Print_Area" localSheetId="4">' Analysis of selected BS items'!$A$1:$O$88</definedName>
    <definedName name="_xlnm.Print_Area" localSheetId="3">'Balance sheet'!$A$1:$Q$48</definedName>
    <definedName name="_xlnm.Print_Area" localSheetId="16">'Capital adequacy'!$A$1:$O$52</definedName>
    <definedName name="_xlnm.Print_Area" localSheetId="0">'Cover '!$A$1:$G$55</definedName>
    <definedName name="_xlnm.Print_Area" localSheetId="21">'Customers'' data'!$A$1:$I$23</definedName>
    <definedName name="_xlnm.Print_Area" localSheetId="18">'Debt securities'!$A$1:$N$29</definedName>
    <definedName name="_xlnm.Print_Area" localSheetId="20">'Dividends &amp; share buy back'!$A$1:$G$29</definedName>
    <definedName name="_xlnm.Print_Area" localSheetId="2">'EPS calculations'!$A$1:$Q$55</definedName>
    <definedName name="_xlnm.Print_Area" localSheetId="17">'Ethniki Insurance'!$A$1:$D$42</definedName>
    <definedName name="_xlnm.Print_Area" localSheetId="1">'Financial highlights'!$A$1:$Q$67</definedName>
    <definedName name="_xlnm.Print_Area" localSheetId="14">'IFRS9 stages'!$A$1:$O$56</definedName>
    <definedName name="_xlnm.Print_Area" localSheetId="13">'Loan portfolio quality'!$A$1:$O$80</definedName>
    <definedName name="_xlnm.Print_Area" localSheetId="11">'Net credit expansion'!$A$1:$O$26</definedName>
    <definedName name="_xlnm.Print_Area" localSheetId="7">NFI!$A$1:$P$24</definedName>
    <definedName name="_xlnm.Print_Area" localSheetId="6">NII!$A$1:$O$48</definedName>
    <definedName name="_xlnm.Print_Area" localSheetId="15">'NPE flow decomposition'!$A$1:$O$33</definedName>
    <definedName name="_xlnm.Print_Area" localSheetId="8">OPEX!$A$1:$K$38</definedName>
    <definedName name="_xlnm.Print_Area" localSheetId="22">'Other information'!$A$1:$O$60</definedName>
    <definedName name="_xlnm.Print_Area" localSheetId="12">'Performing loans'!$A$1:$O$35</definedName>
    <definedName name="_xlnm.Print_Area" localSheetId="5">PL!$A$1:$O$53</definedName>
    <definedName name="_xlnm.Print_Area" localSheetId="9">'PL segment view'!$A$1:$M$32</definedName>
    <definedName name="_xlnm.Print_Area" localSheetId="19">'Synthetic securitizations'!$A$1:$J$20</definedName>
    <definedName name="_xlnm.Print_Titles" localSheetId="16">'Capital adequacy'!$B:$N</definedName>
    <definedName name="_xlnm.Print_Titles" localSheetId="22">'Other information'!$1:$6</definedName>
    <definedName name="_xlnm.Print_Titles" localSheetId="5">PL!$1:$3</definedName>
    <definedName name="_xlnm.Print_Titles" localSheetId="9">'PL segment view'!$1:$3</definedName>
    <definedName name="_xlnm.Print_Titles" localSheetId="10">'PL Snappi'!$1:$3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50" i="40" l="1"/>
  <c r="M45" i="50" l="1"/>
  <c r="N78" i="50" l="1"/>
  <c r="P45" i="50" l="1"/>
  <c r="E20" i="54" l="1"/>
  <c r="N73" i="50" l="1"/>
  <c r="M73" i="50"/>
  <c r="L73" i="50"/>
  <c r="K73" i="50"/>
  <c r="O45" i="50" l="1"/>
  <c r="P27" i="50"/>
  <c r="O27" i="50"/>
  <c r="N49" i="40" l="1"/>
  <c r="J49" i="40"/>
  <c r="M49" i="40"/>
  <c r="M50" i="40" l="1"/>
  <c r="C33" i="58" l="1"/>
  <c r="C22" i="58"/>
  <c r="C15" i="58"/>
  <c r="N30" i="40" l="1"/>
  <c r="N65" i="49"/>
  <c r="P65" i="49" s="1"/>
  <c r="N64" i="49"/>
  <c r="P64" i="49" s="1"/>
  <c r="N44" i="35" l="1"/>
  <c r="G23" i="47" l="1"/>
  <c r="E23" i="47"/>
  <c r="G24" i="47"/>
  <c r="D23" i="47"/>
  <c r="C23" i="47"/>
  <c r="F13" i="47"/>
  <c r="F15" i="47" s="1"/>
  <c r="F19" i="47" s="1"/>
  <c r="J24" i="47"/>
  <c r="E24" i="47"/>
  <c r="D24" i="47"/>
  <c r="J23" i="47"/>
  <c r="C24" i="47"/>
  <c r="J26" i="43" l="1"/>
  <c r="H26" i="43"/>
  <c r="I26" i="43"/>
  <c r="G26" i="43"/>
  <c r="G18" i="53"/>
  <c r="G17" i="53"/>
  <c r="G16" i="53"/>
  <c r="G12" i="53"/>
  <c r="G11" i="53"/>
  <c r="N15" i="51" l="1"/>
  <c r="N23" i="36" l="1"/>
  <c r="N16" i="36"/>
  <c r="N30" i="36"/>
  <c r="N31" i="36" s="1"/>
  <c r="N52" i="36"/>
  <c r="N45" i="36"/>
  <c r="N44" i="36"/>
  <c r="N51" i="36"/>
  <c r="N16" i="48" l="1"/>
  <c r="N53" i="36"/>
  <c r="N46" i="36"/>
  <c r="N24" i="36"/>
  <c r="N19" i="56" l="1"/>
  <c r="N14" i="56"/>
  <c r="N21" i="56" s="1"/>
  <c r="N22" i="42" l="1"/>
  <c r="N14" i="42" l="1"/>
  <c r="N24" i="42" s="1"/>
  <c r="N79" i="34" l="1"/>
  <c r="N29" i="34" l="1"/>
  <c r="N54" i="34"/>
  <c r="N59" i="34" s="1"/>
  <c r="N58" i="34" s="1"/>
  <c r="N34" i="34" l="1"/>
  <c r="N40" i="34"/>
  <c r="N47" i="34" l="1"/>
  <c r="O57" i="49"/>
  <c r="P49" i="50"/>
  <c r="O49" i="50"/>
  <c r="O36" i="50"/>
  <c r="O53" i="50"/>
  <c r="P53" i="50"/>
  <c r="N30" i="33" l="1"/>
  <c r="P44" i="49" l="1"/>
  <c r="P42" i="49"/>
  <c r="P39" i="49"/>
  <c r="P43" i="49" l="1"/>
  <c r="P54" i="49" s="1"/>
  <c r="N54" i="49"/>
  <c r="M30" i="40" l="1"/>
  <c r="M72" i="36"/>
  <c r="M19" i="56"/>
  <c r="P46" i="33"/>
  <c r="P45" i="33"/>
  <c r="P44" i="33"/>
  <c r="P43" i="33"/>
  <c r="P42" i="33"/>
  <c r="P41" i="33"/>
  <c r="P40" i="33"/>
  <c r="P38" i="33"/>
  <c r="P37" i="33"/>
  <c r="P36" i="33"/>
  <c r="P34" i="33"/>
  <c r="P33" i="33"/>
  <c r="P32" i="33"/>
  <c r="P25" i="33"/>
  <c r="P24" i="33"/>
  <c r="P23" i="33"/>
  <c r="P22" i="33"/>
  <c r="P21" i="33"/>
  <c r="P20" i="33"/>
  <c r="P19" i="33"/>
  <c r="P18" i="33"/>
  <c r="P16" i="33"/>
  <c r="P15" i="33"/>
  <c r="P12" i="33"/>
  <c r="P11" i="33"/>
  <c r="M65" i="49" l="1"/>
  <c r="L65" i="49"/>
  <c r="M64" i="49"/>
  <c r="L64" i="49"/>
  <c r="M12" i="48"/>
  <c r="M15" i="51"/>
  <c r="M14" i="56"/>
  <c r="M21" i="56" s="1"/>
  <c r="M71" i="36"/>
  <c r="M73" i="36"/>
  <c r="M22" i="42"/>
  <c r="I13" i="43"/>
  <c r="M45" i="36"/>
  <c r="M40" i="36"/>
  <c r="N23" i="41"/>
  <c r="M44" i="35"/>
  <c r="M30" i="33"/>
  <c r="P30" i="33" s="1"/>
  <c r="P28" i="33"/>
  <c r="M14" i="42"/>
  <c r="M54" i="34"/>
  <c r="M59" i="34" s="1"/>
  <c r="M58" i="34" s="1"/>
  <c r="M76" i="34"/>
  <c r="M29" i="34"/>
  <c r="M16" i="48"/>
  <c r="M16" i="36"/>
  <c r="M17" i="36" s="1"/>
  <c r="M40" i="34"/>
  <c r="M34" i="34"/>
  <c r="M59" i="36"/>
  <c r="M64" i="36"/>
  <c r="M23" i="36"/>
  <c r="M67" i="36" s="1"/>
  <c r="M58" i="36"/>
  <c r="M44" i="36"/>
  <c r="M66" i="36"/>
  <c r="M43" i="36"/>
  <c r="M65" i="36"/>
  <c r="M51" i="36"/>
  <c r="M52" i="36"/>
  <c r="M79" i="34"/>
  <c r="M30" i="36"/>
  <c r="M74" i="36" s="1"/>
  <c r="M50" i="36"/>
  <c r="M57" i="36"/>
  <c r="M66" i="34"/>
  <c r="M69" i="34" s="1"/>
  <c r="M15" i="34"/>
  <c r="M16" i="34" s="1"/>
  <c r="M29" i="48" l="1"/>
  <c r="M20" i="48"/>
  <c r="M24" i="42"/>
  <c r="M60" i="36"/>
  <c r="M53" i="36"/>
  <c r="M47" i="34"/>
  <c r="M83" i="34"/>
  <c r="M61" i="36"/>
  <c r="M46" i="36"/>
  <c r="M24" i="36"/>
  <c r="M47" i="36" s="1"/>
  <c r="M31" i="36"/>
  <c r="M71" i="34"/>
  <c r="M70" i="34"/>
  <c r="M20" i="34"/>
  <c r="M25" i="34"/>
  <c r="M24" i="34"/>
  <c r="M23" i="34"/>
  <c r="M22" i="34"/>
  <c r="M19" i="34"/>
  <c r="M21" i="34"/>
  <c r="M30" i="48" l="1"/>
  <c r="M68" i="36"/>
  <c r="M72" i="34"/>
  <c r="M54" i="36"/>
  <c r="M75" i="36"/>
  <c r="F19" i="56" l="1"/>
  <c r="E19" i="56" l="1"/>
  <c r="H19" i="56"/>
  <c r="L19" i="56"/>
  <c r="I14" i="56"/>
  <c r="C14" i="56"/>
  <c r="E14" i="56"/>
  <c r="G14" i="56"/>
  <c r="K14" i="56"/>
  <c r="I19" i="56"/>
  <c r="I21" i="56" s="1"/>
  <c r="K19" i="56"/>
  <c r="D14" i="56"/>
  <c r="F14" i="56"/>
  <c r="F21" i="56" s="1"/>
  <c r="C19" i="56"/>
  <c r="H14" i="56"/>
  <c r="J19" i="56"/>
  <c r="G19" i="56"/>
  <c r="G21" i="56" s="1"/>
  <c r="D19" i="56"/>
  <c r="J14" i="56"/>
  <c r="L14" i="56"/>
  <c r="D21" i="56" l="1"/>
  <c r="L21" i="56"/>
  <c r="H21" i="56"/>
  <c r="E21" i="56"/>
  <c r="K21" i="56"/>
  <c r="C21" i="56"/>
  <c r="J21" i="56"/>
  <c r="M36" i="50" l="1"/>
  <c r="P36" i="50" s="1"/>
  <c r="M54" i="49" l="1"/>
  <c r="D14" i="54" l="1"/>
  <c r="L49" i="40" l="1"/>
  <c r="K49" i="40"/>
  <c r="K50" i="40"/>
  <c r="L50" i="40"/>
  <c r="I49" i="40"/>
  <c r="H49" i="40" l="1"/>
  <c r="I50" i="40" l="1"/>
  <c r="H50" i="40"/>
  <c r="G50" i="40"/>
  <c r="F50" i="40"/>
  <c r="G49" i="40" l="1"/>
  <c r="J50" i="40"/>
  <c r="F49" i="40"/>
  <c r="E18" i="54" l="1"/>
  <c r="E19" i="54"/>
  <c r="D20" i="54"/>
  <c r="D19" i="54"/>
  <c r="D18" i="54"/>
  <c r="H13" i="43" l="1"/>
  <c r="L72" i="36"/>
  <c r="L44" i="35"/>
  <c r="L15" i="34" l="1"/>
  <c r="L16" i="34" s="1"/>
  <c r="L24" i="34" s="1"/>
  <c r="L65" i="36"/>
  <c r="L66" i="36"/>
  <c r="L73" i="36"/>
  <c r="L54" i="34"/>
  <c r="L59" i="34" s="1"/>
  <c r="L58" i="34" s="1"/>
  <c r="L54" i="49"/>
  <c r="L71" i="36"/>
  <c r="L22" i="42"/>
  <c r="L30" i="33"/>
  <c r="L51" i="36"/>
  <c r="L14" i="42"/>
  <c r="L15" i="51"/>
  <c r="L79" i="34"/>
  <c r="L52" i="36"/>
  <c r="L29" i="34"/>
  <c r="L16" i="36"/>
  <c r="L17" i="36" s="1"/>
  <c r="L23" i="36"/>
  <c r="L67" i="36" s="1"/>
  <c r="L16" i="48"/>
  <c r="L20" i="48" s="1"/>
  <c r="L40" i="34"/>
  <c r="L59" i="36"/>
  <c r="L44" i="36"/>
  <c r="L45" i="36"/>
  <c r="L34" i="34"/>
  <c r="L58" i="36"/>
  <c r="L66" i="34"/>
  <c r="L70" i="34" s="1"/>
  <c r="L40" i="36"/>
  <c r="L76" i="34"/>
  <c r="L12" i="48"/>
  <c r="L29" i="48" s="1"/>
  <c r="L30" i="48" s="1"/>
  <c r="L43" i="36"/>
  <c r="L57" i="36"/>
  <c r="L50" i="36"/>
  <c r="L64" i="36"/>
  <c r="L30" i="36"/>
  <c r="L74" i="36" s="1"/>
  <c r="L53" i="36" l="1"/>
  <c r="L46" i="36"/>
  <c r="L24" i="42"/>
  <c r="L60" i="36"/>
  <c r="L24" i="36"/>
  <c r="L47" i="36" s="1"/>
  <c r="L83" i="34"/>
  <c r="L47" i="34"/>
  <c r="L61" i="36"/>
  <c r="L71" i="34"/>
  <c r="L69" i="34"/>
  <c r="L22" i="34"/>
  <c r="L21" i="34"/>
  <c r="L25" i="34"/>
  <c r="L23" i="34"/>
  <c r="L20" i="34"/>
  <c r="L19" i="34"/>
  <c r="L31" i="36"/>
  <c r="L75" i="36" s="1"/>
  <c r="L72" i="34" l="1"/>
  <c r="L68" i="36"/>
  <c r="M23" i="41"/>
  <c r="L54" i="36"/>
  <c r="H21" i="47" l="1"/>
  <c r="K65" i="49" l="1"/>
  <c r="K64" i="49"/>
  <c r="K19" i="48"/>
  <c r="K15" i="34"/>
  <c r="K53" i="50"/>
  <c r="G13" i="43" l="1"/>
  <c r="K54" i="34"/>
  <c r="K59" i="34" s="1"/>
  <c r="K58" i="34" s="1"/>
  <c r="K54" i="49"/>
  <c r="L11" i="51"/>
  <c r="L28" i="51" s="1"/>
  <c r="M11" i="51" s="1"/>
  <c r="K16" i="34"/>
  <c r="K44" i="35"/>
  <c r="L23" i="41"/>
  <c r="K15" i="51"/>
  <c r="K14" i="42"/>
  <c r="K22" i="42"/>
  <c r="K40" i="34"/>
  <c r="K34" i="34"/>
  <c r="K72" i="36"/>
  <c r="K76" i="34"/>
  <c r="K44" i="36"/>
  <c r="K29" i="34"/>
  <c r="K66" i="34"/>
  <c r="K71" i="34" s="1"/>
  <c r="K79" i="34"/>
  <c r="K71" i="36"/>
  <c r="K30" i="33"/>
  <c r="K43" i="36"/>
  <c r="K51" i="36"/>
  <c r="K65" i="36"/>
  <c r="K52" i="36"/>
  <c r="K59" i="36"/>
  <c r="K23" i="36"/>
  <c r="K67" i="36" s="1"/>
  <c r="K30" i="36"/>
  <c r="K31" i="36" s="1"/>
  <c r="K50" i="36"/>
  <c r="K45" i="36"/>
  <c r="K57" i="36"/>
  <c r="K73" i="36"/>
  <c r="K16" i="36"/>
  <c r="K60" i="36" s="1"/>
  <c r="K40" i="36"/>
  <c r="K58" i="36"/>
  <c r="K64" i="36"/>
  <c r="K66" i="36"/>
  <c r="K16" i="48"/>
  <c r="M28" i="51" l="1"/>
  <c r="N11" i="51" s="1"/>
  <c r="N28" i="51" s="1"/>
  <c r="K25" i="34"/>
  <c r="K24" i="34"/>
  <c r="K22" i="34"/>
  <c r="K19" i="34"/>
  <c r="K20" i="34"/>
  <c r="K21" i="34"/>
  <c r="K83" i="34"/>
  <c r="K23" i="34"/>
  <c r="K47" i="34"/>
  <c r="K24" i="42"/>
  <c r="K69" i="34"/>
  <c r="K74" i="36"/>
  <c r="K12" i="48"/>
  <c r="K24" i="36"/>
  <c r="K68" i="36" s="1"/>
  <c r="K70" i="34"/>
  <c r="K17" i="36"/>
  <c r="K54" i="36" s="1"/>
  <c r="K53" i="36"/>
  <c r="K46" i="36"/>
  <c r="K75" i="36"/>
  <c r="K72" i="34" l="1"/>
  <c r="K61" i="36"/>
  <c r="K47" i="36"/>
  <c r="J44" i="36" l="1"/>
  <c r="K11" i="51"/>
  <c r="J65" i="49"/>
  <c r="O65" i="49" s="1"/>
  <c r="J64" i="49"/>
  <c r="O64" i="49"/>
  <c r="F26" i="43" l="1"/>
  <c r="J54" i="34"/>
  <c r="J59" i="34" s="1"/>
  <c r="J58" i="34" s="1"/>
  <c r="J15" i="34"/>
  <c r="J14" i="42"/>
  <c r="J40" i="34"/>
  <c r="J15" i="51"/>
  <c r="J34" i="34"/>
  <c r="K23" i="41"/>
  <c r="J16" i="48"/>
  <c r="J79" i="34"/>
  <c r="J76" i="34"/>
  <c r="J30" i="33"/>
  <c r="J29" i="34"/>
  <c r="J59" i="36"/>
  <c r="J52" i="36"/>
  <c r="J66" i="34"/>
  <c r="J71" i="34" s="1"/>
  <c r="J73" i="36"/>
  <c r="J16" i="36"/>
  <c r="J60" i="36" s="1"/>
  <c r="J45" i="36"/>
  <c r="J51" i="36"/>
  <c r="J64" i="36"/>
  <c r="J58" i="36"/>
  <c r="J22" i="42"/>
  <c r="J23" i="36"/>
  <c r="J65" i="36"/>
  <c r="J71" i="36"/>
  <c r="J30" i="36"/>
  <c r="J66" i="36"/>
  <c r="J72" i="36"/>
  <c r="J40" i="36"/>
  <c r="J11" i="51"/>
  <c r="J50" i="36" l="1"/>
  <c r="J17" i="36"/>
  <c r="J61" i="36" s="1"/>
  <c r="J57" i="36"/>
  <c r="J16" i="34"/>
  <c r="J25" i="34" s="1"/>
  <c r="J43" i="36"/>
  <c r="J24" i="42"/>
  <c r="J83" i="34"/>
  <c r="K20" i="48"/>
  <c r="K29" i="48"/>
  <c r="K30" i="48" s="1"/>
  <c r="J47" i="34"/>
  <c r="J46" i="36"/>
  <c r="J70" i="34"/>
  <c r="J20" i="48"/>
  <c r="J69" i="34"/>
  <c r="J12" i="48"/>
  <c r="J29" i="48" s="1"/>
  <c r="J67" i="36"/>
  <c r="J24" i="36"/>
  <c r="J74" i="36"/>
  <c r="J53" i="36"/>
  <c r="J31" i="36"/>
  <c r="J54" i="36" l="1"/>
  <c r="J21" i="34"/>
  <c r="J24" i="34"/>
  <c r="J20" i="34"/>
  <c r="J22" i="34"/>
  <c r="J23" i="34"/>
  <c r="J19" i="34"/>
  <c r="J30" i="48"/>
  <c r="J47" i="36"/>
  <c r="J72" i="34"/>
  <c r="J75" i="36"/>
  <c r="J68" i="36"/>
  <c r="G25" i="47" l="1"/>
  <c r="O44" i="49" l="1"/>
  <c r="O43" i="49"/>
  <c r="O54" i="49" s="1"/>
  <c r="O42" i="49"/>
  <c r="E13" i="43"/>
  <c r="I65" i="49"/>
  <c r="I64" i="49"/>
  <c r="E26" i="43" l="1"/>
  <c r="I54" i="34"/>
  <c r="I59" i="34" s="1"/>
  <c r="I58" i="34" s="1"/>
  <c r="O39" i="49"/>
  <c r="I54" i="49"/>
  <c r="I15" i="34"/>
  <c r="I16" i="34" s="1"/>
  <c r="I45" i="29"/>
  <c r="J54" i="49"/>
  <c r="I44" i="35"/>
  <c r="I14" i="42"/>
  <c r="I41" i="29"/>
  <c r="I22" i="42"/>
  <c r="I15" i="51"/>
  <c r="I30" i="33"/>
  <c r="I29" i="34"/>
  <c r="I17" i="29"/>
  <c r="J23" i="41"/>
  <c r="I14" i="29"/>
  <c r="I24" i="29"/>
  <c r="I21" i="50"/>
  <c r="I25" i="50" s="1"/>
  <c r="I28" i="50" s="1"/>
  <c r="I29" i="50" s="1"/>
  <c r="I46" i="50"/>
  <c r="I34" i="34"/>
  <c r="I40" i="34"/>
  <c r="I66" i="34"/>
  <c r="I69" i="34" s="1"/>
  <c r="I56" i="49"/>
  <c r="I16" i="36"/>
  <c r="I60" i="36" s="1"/>
  <c r="I12" i="48"/>
  <c r="I29" i="48" s="1"/>
  <c r="I30" i="48" s="1"/>
  <c r="I16" i="48"/>
  <c r="I20" i="48" s="1"/>
  <c r="I76" i="34"/>
  <c r="I20" i="49"/>
  <c r="I61" i="49" s="1"/>
  <c r="I79" i="34"/>
  <c r="I23" i="36"/>
  <c r="I24" i="36" s="1"/>
  <c r="I43" i="36"/>
  <c r="I51" i="36"/>
  <c r="I65" i="36"/>
  <c r="I72" i="36"/>
  <c r="I16" i="49"/>
  <c r="I60" i="49" s="1"/>
  <c r="I52" i="36"/>
  <c r="I59" i="36"/>
  <c r="I45" i="36"/>
  <c r="I30" i="36"/>
  <c r="I74" i="36" s="1"/>
  <c r="I71" i="36"/>
  <c r="I50" i="36"/>
  <c r="I45" i="33"/>
  <c r="I57" i="36"/>
  <c r="I73" i="36"/>
  <c r="I44" i="36"/>
  <c r="I40" i="36"/>
  <c r="I58" i="36"/>
  <c r="I64" i="36"/>
  <c r="I66" i="36"/>
  <c r="I25" i="34" l="1"/>
  <c r="I20" i="34"/>
  <c r="I24" i="34"/>
  <c r="I19" i="34"/>
  <c r="I23" i="34"/>
  <c r="I22" i="34"/>
  <c r="I21" i="34"/>
  <c r="I24" i="42"/>
  <c r="I83" i="34"/>
  <c r="I47" i="34"/>
  <c r="I53" i="36"/>
  <c r="I46" i="36"/>
  <c r="I31" i="36"/>
  <c r="I75" i="36" s="1"/>
  <c r="I71" i="34"/>
  <c r="I70" i="34"/>
  <c r="I31" i="50"/>
  <c r="I34" i="50" s="1"/>
  <c r="I40" i="50" s="1"/>
  <c r="I47" i="50" s="1"/>
  <c r="I50" i="50" s="1"/>
  <c r="I51" i="50" s="1"/>
  <c r="I17" i="36"/>
  <c r="I67" i="36"/>
  <c r="I22" i="49"/>
  <c r="I28" i="49" s="1"/>
  <c r="I47" i="29"/>
  <c r="I48" i="29" s="1"/>
  <c r="I46" i="29"/>
  <c r="I68" i="36"/>
  <c r="I72" i="34" l="1"/>
  <c r="I54" i="36"/>
  <c r="I23" i="49"/>
  <c r="I29" i="49" s="1"/>
  <c r="I37" i="50"/>
  <c r="I38" i="50" s="1"/>
  <c r="I47" i="36"/>
  <c r="I61" i="36"/>
  <c r="I33" i="49"/>
  <c r="I36" i="49"/>
  <c r="I49" i="49" l="1"/>
  <c r="I55" i="49"/>
  <c r="I47" i="49"/>
  <c r="I35" i="49"/>
  <c r="I48" i="49" l="1"/>
  <c r="C44" i="35" l="1"/>
  <c r="H65" i="49" l="1"/>
  <c r="I11" i="51"/>
  <c r="D13" i="43"/>
  <c r="H15" i="34"/>
  <c r="D26" i="43" l="1"/>
  <c r="H54" i="34"/>
  <c r="H59" i="34" s="1"/>
  <c r="H58" i="34" s="1"/>
  <c r="H16" i="34"/>
  <c r="H25" i="34" s="1"/>
  <c r="H41" i="29"/>
  <c r="H22" i="42"/>
  <c r="H15" i="51"/>
  <c r="H16" i="48"/>
  <c r="H20" i="48" s="1"/>
  <c r="H66" i="34"/>
  <c r="H71" i="34" s="1"/>
  <c r="H72" i="36"/>
  <c r="H24" i="29"/>
  <c r="H14" i="29"/>
  <c r="H12" i="48"/>
  <c r="H29" i="48" s="1"/>
  <c r="H30" i="48" s="1"/>
  <c r="H40" i="34"/>
  <c r="H34" i="34"/>
  <c r="H45" i="36"/>
  <c r="I23" i="41"/>
  <c r="H30" i="33"/>
  <c r="H23" i="36"/>
  <c r="H67" i="36" s="1"/>
  <c r="H45" i="33"/>
  <c r="H29" i="34"/>
  <c r="H76" i="34"/>
  <c r="H79" i="34"/>
  <c r="H14" i="42"/>
  <c r="H52" i="36"/>
  <c r="H59" i="36"/>
  <c r="H16" i="36"/>
  <c r="H60" i="36" s="1"/>
  <c r="H30" i="36"/>
  <c r="H31" i="36" s="1"/>
  <c r="H71" i="36"/>
  <c r="H50" i="36"/>
  <c r="H43" i="36"/>
  <c r="H65" i="36"/>
  <c r="H44" i="36"/>
  <c r="H66" i="36"/>
  <c r="H51" i="36"/>
  <c r="H73" i="36"/>
  <c r="H40" i="36"/>
  <c r="H58" i="36"/>
  <c r="H64" i="36"/>
  <c r="H57" i="36"/>
  <c r="H17" i="29"/>
  <c r="H19" i="34" l="1"/>
  <c r="H23" i="34"/>
  <c r="H24" i="34"/>
  <c r="H22" i="34"/>
  <c r="H21" i="34"/>
  <c r="H20" i="34"/>
  <c r="H70" i="34"/>
  <c r="H69" i="34"/>
  <c r="H53" i="36"/>
  <c r="H47" i="34"/>
  <c r="H83" i="34"/>
  <c r="H74" i="36"/>
  <c r="H24" i="36"/>
  <c r="H68" i="36" s="1"/>
  <c r="H24" i="42"/>
  <c r="H17" i="36"/>
  <c r="H54" i="36" s="1"/>
  <c r="H46" i="36"/>
  <c r="H75" i="36"/>
  <c r="H72" i="34" l="1"/>
  <c r="H47" i="36"/>
  <c r="H61" i="36"/>
  <c r="F54" i="34" l="1"/>
  <c r="F59" i="34" s="1"/>
  <c r="F58" i="34" s="1"/>
  <c r="G54" i="34"/>
  <c r="G59" i="34" s="1"/>
  <c r="G58" i="34" s="1"/>
  <c r="E54" i="34"/>
  <c r="E59" i="34" s="1"/>
  <c r="E58" i="34" s="1"/>
  <c r="C54" i="34"/>
  <c r="C59" i="34" s="1"/>
  <c r="C58" i="34" s="1"/>
  <c r="D54" i="34"/>
  <c r="D59" i="34" s="1"/>
  <c r="D58" i="34" s="1"/>
  <c r="C25" i="47" l="1"/>
  <c r="D13" i="47"/>
  <c r="D15" i="47" s="1"/>
  <c r="D26" i="47" s="1"/>
  <c r="C13" i="47"/>
  <c r="C15" i="47" s="1"/>
  <c r="C26" i="47" s="1"/>
  <c r="C19" i="47" l="1"/>
  <c r="C28" i="47" s="1"/>
  <c r="I53" i="49" l="1"/>
  <c r="I52" i="49"/>
  <c r="I58" i="49"/>
  <c r="I59" i="49"/>
  <c r="G65" i="49" l="1"/>
  <c r="H11" i="51"/>
  <c r="C13" i="43"/>
  <c r="H23" i="41"/>
  <c r="G79" i="34"/>
  <c r="G15" i="34"/>
  <c r="G54" i="49"/>
  <c r="H64" i="49" l="1"/>
  <c r="G64" i="49"/>
  <c r="C26" i="43"/>
  <c r="G16" i="34"/>
  <c r="G25" i="34" s="1"/>
  <c r="G41" i="29"/>
  <c r="G45" i="29"/>
  <c r="G46" i="29" s="1"/>
  <c r="G30" i="33"/>
  <c r="G46" i="50"/>
  <c r="G52" i="36"/>
  <c r="G50" i="36"/>
  <c r="G21" i="50"/>
  <c r="G25" i="50" s="1"/>
  <c r="G17" i="29"/>
  <c r="G24" i="29"/>
  <c r="G76" i="34"/>
  <c r="G83" i="34" s="1"/>
  <c r="G65" i="36"/>
  <c r="G43" i="36"/>
  <c r="G45" i="33"/>
  <c r="G40" i="34"/>
  <c r="G34" i="34"/>
  <c r="G51" i="36"/>
  <c r="G56" i="49"/>
  <c r="G14" i="42"/>
  <c r="G66" i="34"/>
  <c r="G71" i="34" s="1"/>
  <c r="G30" i="36"/>
  <c r="G31" i="36" s="1"/>
  <c r="G14" i="29"/>
  <c r="G71" i="36"/>
  <c r="G22" i="42"/>
  <c r="G59" i="36"/>
  <c r="G29" i="34"/>
  <c r="G16" i="48"/>
  <c r="G20" i="48" s="1"/>
  <c r="G58" i="36"/>
  <c r="G15" i="51"/>
  <c r="G72" i="36"/>
  <c r="G23" i="36"/>
  <c r="G67" i="36" s="1"/>
  <c r="G44" i="36"/>
  <c r="G66" i="36"/>
  <c r="G45" i="36"/>
  <c r="G57" i="36"/>
  <c r="G73" i="36"/>
  <c r="G16" i="36"/>
  <c r="G60" i="36" s="1"/>
  <c r="G40" i="36"/>
  <c r="G64" i="36"/>
  <c r="G12" i="48"/>
  <c r="G29" i="48" s="1"/>
  <c r="G30" i="48" s="1"/>
  <c r="G20" i="49"/>
  <c r="G61" i="49" s="1"/>
  <c r="G16" i="49"/>
  <c r="G60" i="49" s="1"/>
  <c r="G20" i="34" l="1"/>
  <c r="G23" i="34"/>
  <c r="G24" i="34"/>
  <c r="G19" i="34"/>
  <c r="G22" i="34"/>
  <c r="G21" i="34"/>
  <c r="G47" i="29"/>
  <c r="G48" i="29" s="1"/>
  <c r="G24" i="42"/>
  <c r="G24" i="36"/>
  <c r="G68" i="36" s="1"/>
  <c r="G74" i="36"/>
  <c r="G17" i="36"/>
  <c r="G46" i="36"/>
  <c r="G31" i="50"/>
  <c r="G34" i="50" s="1"/>
  <c r="G40" i="50" s="1"/>
  <c r="G47" i="50" s="1"/>
  <c r="G50" i="50" s="1"/>
  <c r="G51" i="50" s="1"/>
  <c r="G28" i="50"/>
  <c r="G29" i="50" s="1"/>
  <c r="G70" i="34"/>
  <c r="G69" i="34"/>
  <c r="G47" i="34"/>
  <c r="G75" i="36"/>
  <c r="G53" i="36"/>
  <c r="G22" i="49"/>
  <c r="G28" i="49" s="1"/>
  <c r="G47" i="36" l="1"/>
  <c r="G61" i="36"/>
  <c r="G37" i="50"/>
  <c r="G38" i="50" s="1"/>
  <c r="G54" i="36"/>
  <c r="G72" i="34"/>
  <c r="G23" i="49"/>
  <c r="G29" i="49" s="1"/>
  <c r="G36" i="49"/>
  <c r="G33" i="49"/>
  <c r="G47" i="49" s="1"/>
  <c r="G49" i="49" l="1"/>
  <c r="G35" i="49"/>
  <c r="G55" i="49"/>
  <c r="G48" i="49" l="1"/>
  <c r="F40" i="34" l="1"/>
  <c r="C40" i="34"/>
  <c r="D40" i="34"/>
  <c r="F34" i="34"/>
  <c r="C34" i="34"/>
  <c r="D34" i="34"/>
  <c r="E34" i="34"/>
  <c r="F29" i="34"/>
  <c r="C29" i="34"/>
  <c r="D29" i="34"/>
  <c r="E29" i="34"/>
  <c r="H11" i="47" l="1"/>
  <c r="L11" i="47" l="1"/>
  <c r="H12" i="47"/>
  <c r="L12" i="47" s="1"/>
  <c r="H16" i="47"/>
  <c r="E13" i="47"/>
  <c r="E15" i="47" s="1"/>
  <c r="E26" i="47" s="1"/>
  <c r="H17" i="47"/>
  <c r="L17" i="47" s="1"/>
  <c r="H18" i="47"/>
  <c r="L18" i="47" s="1"/>
  <c r="G13" i="47"/>
  <c r="G15" i="47" s="1"/>
  <c r="G26" i="47" s="1"/>
  <c r="E25" i="47"/>
  <c r="D25" i="47"/>
  <c r="H14" i="47"/>
  <c r="H9" i="47"/>
  <c r="H23" i="47" s="1"/>
  <c r="J13" i="47"/>
  <c r="J15" i="47" s="1"/>
  <c r="J26" i="47" s="1"/>
  <c r="H10" i="47"/>
  <c r="H24" i="47" s="1"/>
  <c r="L16" i="47" l="1"/>
  <c r="J19" i="47"/>
  <c r="J28" i="47" s="1"/>
  <c r="D19" i="47"/>
  <c r="D28" i="47" s="1"/>
  <c r="G19" i="47"/>
  <c r="G28" i="47" s="1"/>
  <c r="E19" i="47"/>
  <c r="E28" i="47" s="1"/>
  <c r="H13" i="47"/>
  <c r="L13" i="47" s="1"/>
  <c r="L9" i="47"/>
  <c r="H15" i="47"/>
  <c r="H26" i="47" s="1"/>
  <c r="H25" i="47"/>
  <c r="L14" i="47"/>
  <c r="L10" i="47"/>
  <c r="H19" i="47" l="1"/>
  <c r="H28" i="47" s="1"/>
  <c r="L25" i="47"/>
  <c r="L15" i="47"/>
  <c r="L19" i="47" l="1"/>
  <c r="F79" i="34" l="1"/>
  <c r="C79" i="34"/>
  <c r="D79" i="34"/>
  <c r="E79" i="34"/>
  <c r="F47" i="34"/>
  <c r="D47" i="34"/>
  <c r="C47" i="34"/>
  <c r="F15" i="34" l="1"/>
  <c r="F41" i="29"/>
  <c r="F45" i="29"/>
  <c r="F46" i="29" s="1"/>
  <c r="F30" i="33"/>
  <c r="F76" i="34"/>
  <c r="F83" i="34" s="1"/>
  <c r="F21" i="50"/>
  <c r="F25" i="50" s="1"/>
  <c r="F28" i="50" s="1"/>
  <c r="F29" i="50" s="1"/>
  <c r="F17" i="29"/>
  <c r="F24" i="29"/>
  <c r="F14" i="29"/>
  <c r="F66" i="34"/>
  <c r="F71" i="34" s="1"/>
  <c r="F45" i="33"/>
  <c r="F16" i="34" l="1"/>
  <c r="F25" i="34" s="1"/>
  <c r="F70" i="34"/>
  <c r="F69" i="34"/>
  <c r="F31" i="50"/>
  <c r="F47" i="29"/>
  <c r="F48" i="29" s="1"/>
  <c r="F20" i="34" l="1"/>
  <c r="F21" i="34"/>
  <c r="F19" i="34"/>
  <c r="F22" i="34"/>
  <c r="F23" i="34"/>
  <c r="F24" i="34"/>
  <c r="F34" i="50"/>
  <c r="F40" i="50" s="1"/>
  <c r="F47" i="50" s="1"/>
  <c r="F72" i="34"/>
  <c r="F50" i="50" l="1"/>
  <c r="F51" i="50" s="1"/>
  <c r="F37" i="50"/>
  <c r="F38" i="50" s="1"/>
  <c r="F39" i="42"/>
  <c r="F65" i="49"/>
  <c r="F64" i="49"/>
  <c r="G11" i="51" l="1"/>
  <c r="F40" i="36"/>
  <c r="F66" i="36"/>
  <c r="F59" i="36"/>
  <c r="F16" i="36"/>
  <c r="F60" i="36" s="1"/>
  <c r="F15" i="51"/>
  <c r="G23" i="41"/>
  <c r="F22" i="42"/>
  <c r="F64" i="36"/>
  <c r="F72" i="36"/>
  <c r="F51" i="36"/>
  <c r="F44" i="36"/>
  <c r="F14" i="42"/>
  <c r="F23" i="36"/>
  <c r="F24" i="36" s="1"/>
  <c r="F52" i="36"/>
  <c r="F45" i="36"/>
  <c r="F30" i="36"/>
  <c r="F71" i="36"/>
  <c r="F58" i="36"/>
  <c r="F65" i="36"/>
  <c r="F73" i="36"/>
  <c r="F16" i="48"/>
  <c r="F12" i="48" l="1"/>
  <c r="F29" i="48" s="1"/>
  <c r="F30" i="48" s="1"/>
  <c r="F68" i="36"/>
  <c r="F57" i="36"/>
  <c r="F17" i="36"/>
  <c r="F47" i="36" s="1"/>
  <c r="F53" i="36"/>
  <c r="F50" i="36"/>
  <c r="F43" i="36"/>
  <c r="F24" i="42"/>
  <c r="F46" i="36"/>
  <c r="F67" i="36"/>
  <c r="F74" i="36"/>
  <c r="F20" i="48"/>
  <c r="F31" i="36"/>
  <c r="F75" i="36" s="1"/>
  <c r="F61" i="36" l="1"/>
  <c r="F54" i="36"/>
  <c r="G53" i="49" l="1"/>
  <c r="G52" i="49"/>
  <c r="G58" i="49"/>
  <c r="G59" i="49"/>
  <c r="E56" i="49" l="1"/>
  <c r="E54" i="49"/>
  <c r="E20" i="49"/>
  <c r="E61" i="49" s="1"/>
  <c r="E21" i="50"/>
  <c r="E25" i="50" s="1"/>
  <c r="E28" i="50" s="1"/>
  <c r="E29" i="50" s="1"/>
  <c r="E16" i="49"/>
  <c r="E60" i="49" s="1"/>
  <c r="E31" i="50" l="1"/>
  <c r="E34" i="50" s="1"/>
  <c r="E37" i="50" s="1"/>
  <c r="E38" i="50" s="1"/>
  <c r="E22" i="49"/>
  <c r="E23" i="49" l="1"/>
  <c r="E29" i="49" s="1"/>
  <c r="E40" i="50"/>
  <c r="E47" i="50" s="1"/>
  <c r="E28" i="49"/>
  <c r="E36" i="49" s="1"/>
  <c r="E39" i="42"/>
  <c r="E65" i="49"/>
  <c r="E64" i="49"/>
  <c r="E15" i="34" l="1"/>
  <c r="E16" i="34" s="1"/>
  <c r="E25" i="34" s="1"/>
  <c r="E41" i="29"/>
  <c r="E45" i="29"/>
  <c r="E46" i="29" s="1"/>
  <c r="E49" i="49"/>
  <c r="F23" i="41"/>
  <c r="E50" i="50"/>
  <c r="E51" i="50" s="1"/>
  <c r="E15" i="51"/>
  <c r="E33" i="49"/>
  <c r="E14" i="29"/>
  <c r="E16" i="48"/>
  <c r="E17" i="29"/>
  <c r="E66" i="34"/>
  <c r="E70" i="34" s="1"/>
  <c r="E72" i="36"/>
  <c r="E45" i="33"/>
  <c r="E71" i="36"/>
  <c r="E51" i="36"/>
  <c r="E59" i="36"/>
  <c r="E16" i="36"/>
  <c r="E60" i="36" s="1"/>
  <c r="E14" i="42"/>
  <c r="E30" i="33"/>
  <c r="E23" i="36"/>
  <c r="E67" i="36" s="1"/>
  <c r="E24" i="29"/>
  <c r="E45" i="36"/>
  <c r="E76" i="34"/>
  <c r="E83" i="34" s="1"/>
  <c r="E52" i="36"/>
  <c r="E22" i="42"/>
  <c r="E30" i="36"/>
  <c r="E74" i="36" s="1"/>
  <c r="E43" i="36"/>
  <c r="E65" i="36"/>
  <c r="E50" i="36"/>
  <c r="E57" i="36"/>
  <c r="E73" i="36"/>
  <c r="E44" i="36"/>
  <c r="E66" i="36"/>
  <c r="E40" i="36"/>
  <c r="E58" i="36"/>
  <c r="E64" i="36"/>
  <c r="E24" i="34" l="1"/>
  <c r="E19" i="34"/>
  <c r="E23" i="34"/>
  <c r="E20" i="34"/>
  <c r="E22" i="34"/>
  <c r="E21" i="34"/>
  <c r="E55" i="49"/>
  <c r="E47" i="49"/>
  <c r="E35" i="49"/>
  <c r="E71" i="34"/>
  <c r="E69" i="34"/>
  <c r="E20" i="48"/>
  <c r="E17" i="36"/>
  <c r="E61" i="36" s="1"/>
  <c r="E53" i="36"/>
  <c r="E12" i="48"/>
  <c r="E29" i="48" s="1"/>
  <c r="E30" i="48" s="1"/>
  <c r="E24" i="36"/>
  <c r="E46" i="36"/>
  <c r="E31" i="36"/>
  <c r="E24" i="42"/>
  <c r="E47" i="29"/>
  <c r="E48" i="29" s="1"/>
  <c r="E48" i="49" l="1"/>
  <c r="E54" i="36"/>
  <c r="E72" i="34"/>
  <c r="E47" i="36"/>
  <c r="E68" i="36"/>
  <c r="E75" i="36"/>
  <c r="D39" i="42" l="1"/>
  <c r="C39" i="42"/>
  <c r="D65" i="49" l="1"/>
  <c r="D64" i="49"/>
  <c r="D15" i="34" l="1"/>
  <c r="D16" i="34" s="1"/>
  <c r="D20" i="34" s="1"/>
  <c r="E23" i="41"/>
  <c r="D22" i="42"/>
  <c r="D15" i="51"/>
  <c r="D23" i="36"/>
  <c r="D24" i="36" s="1"/>
  <c r="D14" i="42"/>
  <c r="D30" i="33"/>
  <c r="D59" i="36"/>
  <c r="D16" i="36"/>
  <c r="D60" i="36" s="1"/>
  <c r="D16" i="48"/>
  <c r="D76" i="34"/>
  <c r="D83" i="34" s="1"/>
  <c r="D52" i="36"/>
  <c r="D66" i="34"/>
  <c r="D71" i="34" s="1"/>
  <c r="D45" i="36"/>
  <c r="D12" i="48"/>
  <c r="D50" i="36"/>
  <c r="D45" i="33"/>
  <c r="D30" i="36"/>
  <c r="D74" i="36" s="1"/>
  <c r="D71" i="36"/>
  <c r="D51" i="36"/>
  <c r="D65" i="36"/>
  <c r="D72" i="36"/>
  <c r="D73" i="36"/>
  <c r="D40" i="36"/>
  <c r="D58" i="36"/>
  <c r="D64" i="36"/>
  <c r="D44" i="36"/>
  <c r="D66" i="36"/>
  <c r="D23" i="34" l="1"/>
  <c r="D21" i="34"/>
  <c r="D22" i="34"/>
  <c r="D25" i="34"/>
  <c r="D24" i="34"/>
  <c r="D19" i="34"/>
  <c r="D67" i="36"/>
  <c r="D24" i="42"/>
  <c r="D70" i="34"/>
  <c r="D69" i="34"/>
  <c r="D46" i="36"/>
  <c r="D17" i="36"/>
  <c r="D47" i="36" s="1"/>
  <c r="D57" i="36"/>
  <c r="D53" i="36"/>
  <c r="D20" i="48"/>
  <c r="D29" i="48"/>
  <c r="D30" i="48" s="1"/>
  <c r="D43" i="36"/>
  <c r="D31" i="36"/>
  <c r="D68" i="36"/>
  <c r="D54" i="36" l="1"/>
  <c r="D72" i="34"/>
  <c r="D61" i="36"/>
  <c r="D75" i="36"/>
  <c r="D56" i="49" l="1"/>
  <c r="E50" i="49" l="1"/>
  <c r="D54" i="49" l="1"/>
  <c r="E51" i="49"/>
  <c r="E53" i="49" l="1"/>
  <c r="E52" i="49"/>
  <c r="E58" i="49"/>
  <c r="E59" i="49"/>
  <c r="C21" i="50" l="1"/>
  <c r="C54" i="49"/>
  <c r="C58" i="49"/>
  <c r="C15" i="34"/>
  <c r="C41" i="29"/>
  <c r="C16" i="34" l="1"/>
  <c r="C20" i="34" s="1"/>
  <c r="C59" i="49"/>
  <c r="D23" i="41"/>
  <c r="C16" i="49"/>
  <c r="C60" i="49" s="1"/>
  <c r="C14" i="42"/>
  <c r="C76" i="34"/>
  <c r="C83" i="34" s="1"/>
  <c r="C20" i="49"/>
  <c r="C61" i="49" s="1"/>
  <c r="C56" i="49"/>
  <c r="C24" i="29"/>
  <c r="C14" i="29"/>
  <c r="C66" i="34"/>
  <c r="C70" i="34" s="1"/>
  <c r="C22" i="42"/>
  <c r="C30" i="33"/>
  <c r="C45" i="33"/>
  <c r="C22" i="34" l="1"/>
  <c r="C19" i="34"/>
  <c r="C24" i="34"/>
  <c r="C21" i="34"/>
  <c r="C23" i="34"/>
  <c r="C25" i="34"/>
  <c r="C24" i="42"/>
  <c r="C22" i="49"/>
  <c r="C69" i="34"/>
  <c r="C71" i="34"/>
  <c r="C28" i="49" l="1"/>
  <c r="C36" i="49" s="1"/>
  <c r="C23" i="49"/>
  <c r="C29" i="49" s="1"/>
  <c r="C72" i="34"/>
  <c r="C65" i="49"/>
  <c r="C64" i="49"/>
  <c r="C53" i="49" l="1"/>
  <c r="C51" i="49"/>
  <c r="C49" i="49"/>
  <c r="C15" i="51"/>
  <c r="C12" i="48"/>
  <c r="C29" i="48" s="1"/>
  <c r="C30" i="48" s="1"/>
  <c r="C51" i="36"/>
  <c r="C44" i="36"/>
  <c r="C45" i="36"/>
  <c r="C52" i="36"/>
  <c r="C16" i="36"/>
  <c r="C60" i="36" s="1"/>
  <c r="C23" i="36"/>
  <c r="C67" i="36" s="1"/>
  <c r="C72" i="36"/>
  <c r="C66" i="36"/>
  <c r="C30" i="36"/>
  <c r="C31" i="36" s="1"/>
  <c r="C16" i="48"/>
  <c r="C58" i="36"/>
  <c r="C65" i="36"/>
  <c r="C73" i="36"/>
  <c r="C59" i="36"/>
  <c r="C17" i="36" l="1"/>
  <c r="C20" i="48"/>
  <c r="C74" i="36"/>
  <c r="C53" i="36"/>
  <c r="C46" i="36"/>
  <c r="C24" i="36"/>
  <c r="C43" i="36"/>
  <c r="C50" i="36"/>
  <c r="C54" i="36" l="1"/>
  <c r="C47" i="36"/>
  <c r="C40" i="36" l="1"/>
  <c r="C75" i="36" s="1"/>
  <c r="C64" i="36"/>
  <c r="C71" i="36"/>
  <c r="C57" i="36"/>
  <c r="C61" i="36" l="1"/>
  <c r="C68" i="36"/>
  <c r="D24" i="29" l="1"/>
  <c r="D20" i="49"/>
  <c r="D58" i="49"/>
  <c r="D59" i="49"/>
  <c r="D61" i="49" l="1"/>
  <c r="D16" i="49"/>
  <c r="D14" i="29"/>
  <c r="D21" i="50"/>
  <c r="D22" i="49" l="1"/>
  <c r="D23" i="49" s="1"/>
  <c r="D29" i="49" s="1"/>
  <c r="D60" i="49"/>
  <c r="D28" i="49" l="1"/>
  <c r="D36" i="49" s="1"/>
  <c r="D53" i="49" s="1"/>
  <c r="D49" i="49" l="1"/>
  <c r="D51" i="49"/>
  <c r="D33" i="49"/>
  <c r="D25" i="50"/>
  <c r="D41" i="29" l="1"/>
  <c r="D55" i="49"/>
  <c r="D47" i="49"/>
  <c r="D35" i="49"/>
  <c r="D31" i="50"/>
  <c r="D28" i="50"/>
  <c r="D29" i="50" s="1"/>
  <c r="D52" i="49" l="1"/>
  <c r="D50" i="49"/>
  <c r="D48" i="49"/>
  <c r="C25" i="50" l="1"/>
  <c r="C33" i="49"/>
  <c r="C47" i="49" s="1"/>
  <c r="C55" i="49" l="1"/>
  <c r="C35" i="49"/>
  <c r="C31" i="50"/>
  <c r="C28" i="50"/>
  <c r="C29" i="50" s="1"/>
  <c r="C52" i="49" l="1"/>
  <c r="C50" i="49"/>
  <c r="C48" i="49"/>
  <c r="D34" i="50" l="1"/>
  <c r="D45" i="29" l="1"/>
  <c r="D46" i="29" s="1"/>
  <c r="D17" i="29"/>
  <c r="D37" i="50"/>
  <c r="D38" i="50" s="1"/>
  <c r="D40" i="50"/>
  <c r="D47" i="50" s="1"/>
  <c r="D50" i="50" l="1"/>
  <c r="D51" i="50" s="1"/>
  <c r="D47" i="29"/>
  <c r="D48" i="29" s="1"/>
  <c r="C45" i="29" l="1"/>
  <c r="C46" i="29" s="1"/>
  <c r="C17" i="29"/>
  <c r="C34" i="50"/>
  <c r="C40" i="50" s="1"/>
  <c r="C47" i="50" s="1"/>
  <c r="C50" i="50" s="1"/>
  <c r="C51" i="50" s="1"/>
  <c r="C47" i="29" l="1"/>
  <c r="C48" i="29" s="1"/>
  <c r="C37" i="50"/>
  <c r="C38" i="50" s="1"/>
  <c r="G50" i="49" l="1"/>
  <c r="G51" i="49"/>
  <c r="F54" i="49"/>
  <c r="F56" i="49" l="1"/>
  <c r="F20" i="49" l="1"/>
  <c r="F58" i="49"/>
  <c r="F59" i="49"/>
  <c r="F61" i="49" l="1"/>
  <c r="F16" i="49"/>
  <c r="F22" i="49" l="1"/>
  <c r="F23" i="49" s="1"/>
  <c r="F29" i="49" s="1"/>
  <c r="F60" i="49"/>
  <c r="F28" i="49" l="1"/>
  <c r="F36" i="49" s="1"/>
  <c r="F53" i="49" s="1"/>
  <c r="F33" i="49" l="1"/>
  <c r="F35" i="49" s="1"/>
  <c r="F51" i="49"/>
  <c r="F49" i="49"/>
  <c r="F55" i="49" l="1"/>
  <c r="F47" i="49"/>
  <c r="F52" i="49"/>
  <c r="F50" i="49"/>
  <c r="F48" i="49"/>
  <c r="E40" i="34" l="1"/>
  <c r="E47" i="34" s="1"/>
  <c r="H56" i="49" l="1"/>
  <c r="I51" i="49" l="1"/>
  <c r="I50" i="49"/>
  <c r="H54" i="49"/>
  <c r="H58" i="49" l="1"/>
  <c r="H20" i="49"/>
  <c r="H61" i="49" l="1"/>
  <c r="H59" i="49"/>
  <c r="H16" i="49"/>
  <c r="H22" i="49" s="1"/>
  <c r="H60" i="49" l="1"/>
  <c r="H28" i="49"/>
  <c r="H23" i="49"/>
  <c r="H29" i="49" s="1"/>
  <c r="H36" i="49" l="1"/>
  <c r="H53" i="49" s="1"/>
  <c r="H49" i="49" l="1"/>
  <c r="H51" i="49"/>
  <c r="H44" i="35" l="1"/>
  <c r="G44" i="35" l="1"/>
  <c r="F44" i="35" l="1"/>
  <c r="E44" i="35" l="1"/>
  <c r="D44" i="35" l="1"/>
  <c r="L21" i="47" l="1"/>
  <c r="L24" i="47" l="1"/>
  <c r="L23" i="47"/>
  <c r="L26" i="47"/>
  <c r="L28" i="47"/>
  <c r="K56" i="49"/>
  <c r="O40" i="49" l="1"/>
  <c r="L56" i="49" l="1"/>
  <c r="M56" i="49" l="1"/>
  <c r="O41" i="49" l="1"/>
  <c r="O56" i="49" s="1"/>
  <c r="J56" i="49"/>
  <c r="J44" i="35" l="1"/>
  <c r="J46" i="50" l="1"/>
  <c r="J20" i="49"/>
  <c r="F13" i="43"/>
  <c r="J24" i="29"/>
  <c r="J17" i="29" l="1"/>
  <c r="J61" i="49"/>
  <c r="J16" i="49"/>
  <c r="J22" i="49" s="1"/>
  <c r="J58" i="49"/>
  <c r="J21" i="50"/>
  <c r="J25" i="50" s="1"/>
  <c r="J14" i="29"/>
  <c r="J59" i="49"/>
  <c r="J60" i="49" l="1"/>
  <c r="J28" i="50"/>
  <c r="J29" i="50" s="1"/>
  <c r="J31" i="50"/>
  <c r="J34" i="50" s="1"/>
  <c r="J23" i="49"/>
  <c r="J29" i="49" s="1"/>
  <c r="J28" i="49"/>
  <c r="J33" i="49" s="1"/>
  <c r="J36" i="49" l="1"/>
  <c r="J40" i="50"/>
  <c r="J37" i="50"/>
  <c r="J38" i="50" s="1"/>
  <c r="J47" i="50" l="1"/>
  <c r="J50" i="50" s="1"/>
  <c r="J51" i="50" s="1"/>
  <c r="J53" i="49"/>
  <c r="J51" i="49"/>
  <c r="J49" i="49"/>
  <c r="J35" i="49"/>
  <c r="J55" i="49"/>
  <c r="J47" i="49"/>
  <c r="J52" i="49" l="1"/>
  <c r="J48" i="49"/>
  <c r="J50" i="49"/>
  <c r="J45" i="29" l="1"/>
  <c r="J41" i="29"/>
  <c r="J47" i="29" l="1"/>
  <c r="J48" i="29" s="1"/>
  <c r="J46" i="29"/>
  <c r="H45" i="29" l="1"/>
  <c r="H33" i="49"/>
  <c r="H46" i="50"/>
  <c r="H21" i="50" l="1"/>
  <c r="H25" i="50" s="1"/>
  <c r="H28" i="50" s="1"/>
  <c r="H29" i="50" s="1"/>
  <c r="H35" i="49"/>
  <c r="H47" i="49"/>
  <c r="H55" i="49"/>
  <c r="H46" i="29"/>
  <c r="H47" i="29"/>
  <c r="H48" i="29" s="1"/>
  <c r="H31" i="50" l="1"/>
  <c r="H34" i="50" s="1"/>
  <c r="H37" i="50" s="1"/>
  <c r="H38" i="50" s="1"/>
  <c r="H50" i="49"/>
  <c r="H52" i="49"/>
  <c r="H48" i="49"/>
  <c r="H40" i="50" l="1"/>
  <c r="H47" i="50" s="1"/>
  <c r="H50" i="50" s="1"/>
  <c r="H51" i="50" s="1"/>
  <c r="N72" i="36" l="1"/>
  <c r="N65" i="36" l="1"/>
  <c r="N58" i="36"/>
  <c r="N73" i="36" l="1"/>
  <c r="N59" i="36"/>
  <c r="N66" i="36"/>
  <c r="N15" i="34"/>
  <c r="N74" i="36"/>
  <c r="N67" i="36" l="1"/>
  <c r="N60" i="36"/>
  <c r="E32" i="43" l="1"/>
  <c r="E34" i="43" s="1"/>
  <c r="D32" i="43"/>
  <c r="D34" i="43" s="1"/>
  <c r="C32" i="43"/>
  <c r="C34" i="43" s="1"/>
  <c r="F32" i="43" l="1"/>
  <c r="F34" i="43" s="1"/>
  <c r="G32" i="43"/>
  <c r="G34" i="43" s="1"/>
  <c r="H32" i="43"/>
  <c r="H34" i="43" s="1"/>
  <c r="L72" i="50"/>
  <c r="I32" i="43" l="1"/>
  <c r="I34" i="43" s="1"/>
  <c r="M24" i="29"/>
  <c r="K24" i="29"/>
  <c r="L24" i="29"/>
  <c r="L17" i="29"/>
  <c r="L67" i="50"/>
  <c r="L75" i="50"/>
  <c r="L20" i="49"/>
  <c r="M75" i="50"/>
  <c r="M17" i="29"/>
  <c r="M67" i="50"/>
  <c r="K14" i="29"/>
  <c r="K67" i="50"/>
  <c r="K20" i="49"/>
  <c r="M72" i="50"/>
  <c r="K72" i="50"/>
  <c r="M14" i="29" l="1"/>
  <c r="O20" i="49"/>
  <c r="O46" i="50"/>
  <c r="K58" i="49"/>
  <c r="K17" i="29"/>
  <c r="L14" i="29"/>
  <c r="L58" i="49"/>
  <c r="L61" i="49"/>
  <c r="K61" i="49" l="1"/>
  <c r="K59" i="49"/>
  <c r="O58" i="49"/>
  <c r="K16" i="49"/>
  <c r="L59" i="49"/>
  <c r="L16" i="49"/>
  <c r="L22" i="49" s="1"/>
  <c r="K60" i="49" l="1"/>
  <c r="K22" i="49"/>
  <c r="L28" i="49"/>
  <c r="L23" i="49"/>
  <c r="L29" i="49" s="1"/>
  <c r="L60" i="49"/>
  <c r="L33" i="49" l="1"/>
  <c r="L36" i="49"/>
  <c r="K28" i="49"/>
  <c r="K23" i="49"/>
  <c r="K29" i="49" s="1"/>
  <c r="L45" i="29"/>
  <c r="L51" i="49" l="1"/>
  <c r="L49" i="49"/>
  <c r="L53" i="49"/>
  <c r="L55" i="49"/>
  <c r="L47" i="49"/>
  <c r="L35" i="49"/>
  <c r="M41" i="29"/>
  <c r="L41" i="29"/>
  <c r="K41" i="29"/>
  <c r="L50" i="49" l="1"/>
  <c r="L48" i="49"/>
  <c r="L52" i="49"/>
  <c r="L47" i="29"/>
  <c r="L48" i="29" s="1"/>
  <c r="L46" i="29"/>
  <c r="N75" i="50" l="1"/>
  <c r="N16" i="34" l="1"/>
  <c r="N19" i="34" s="1"/>
  <c r="N12" i="48"/>
  <c r="N29" i="48" s="1"/>
  <c r="N30" i="48" s="1"/>
  <c r="N20" i="48"/>
  <c r="N17" i="36"/>
  <c r="N50" i="36"/>
  <c r="N43" i="36"/>
  <c r="N54" i="36" l="1"/>
  <c r="N47" i="36"/>
  <c r="N24" i="34"/>
  <c r="N21" i="34"/>
  <c r="N25" i="34"/>
  <c r="N22" i="34"/>
  <c r="N23" i="34"/>
  <c r="N20" i="34"/>
  <c r="N66" i="34" l="1"/>
  <c r="N69" i="34" s="1"/>
  <c r="N76" i="34"/>
  <c r="N83" i="34" s="1"/>
  <c r="P13" i="33"/>
  <c r="N71" i="34" l="1"/>
  <c r="N70" i="34"/>
  <c r="N72" i="34" s="1"/>
  <c r="P14" i="33" l="1"/>
  <c r="N40" i="36" l="1"/>
  <c r="N71" i="36"/>
  <c r="N57" i="36"/>
  <c r="N64" i="36"/>
  <c r="N75" i="36" l="1"/>
  <c r="N57" i="49" s="1"/>
  <c r="P57" i="49" s="1"/>
  <c r="N61" i="36"/>
  <c r="N68" i="36"/>
  <c r="O23" i="41" l="1"/>
  <c r="N77" i="50" l="1"/>
  <c r="P40" i="49" l="1"/>
  <c r="P41" i="49" l="1"/>
  <c r="P56" i="49" s="1"/>
  <c r="N56" i="49"/>
  <c r="J32" i="43" l="1"/>
  <c r="N70" i="50"/>
  <c r="N24" i="29" l="1"/>
  <c r="N46" i="50"/>
  <c r="N17" i="29"/>
  <c r="N20" i="49"/>
  <c r="N61" i="49" s="1"/>
  <c r="N72" i="50"/>
  <c r="N68" i="50"/>
  <c r="J13" i="43" l="1"/>
  <c r="J34" i="43" s="1"/>
  <c r="N59" i="49"/>
  <c r="N58" i="49"/>
  <c r="N16" i="49"/>
  <c r="N22" i="49" s="1"/>
  <c r="N67" i="50"/>
  <c r="N71" i="50" s="1"/>
  <c r="N21" i="50"/>
  <c r="N25" i="50" s="1"/>
  <c r="N14" i="29"/>
  <c r="N28" i="49" l="1"/>
  <c r="N23" i="49"/>
  <c r="N29" i="49" s="1"/>
  <c r="N60" i="49"/>
  <c r="N28" i="50"/>
  <c r="N29" i="50" s="1"/>
  <c r="N31" i="50"/>
  <c r="N34" i="50" s="1"/>
  <c r="N40" i="50" l="1"/>
  <c r="N47" i="50" s="1"/>
  <c r="N50" i="50" s="1"/>
  <c r="N51" i="50" s="1"/>
  <c r="N37" i="50"/>
  <c r="N38" i="50" s="1"/>
  <c r="N36" i="49"/>
  <c r="N33" i="49"/>
  <c r="M20" i="49" l="1"/>
  <c r="L70" i="50"/>
  <c r="L77" i="50"/>
  <c r="K70" i="50"/>
  <c r="K36" i="49"/>
  <c r="N35" i="49"/>
  <c r="N47" i="49"/>
  <c r="N55" i="49"/>
  <c r="M70" i="50"/>
  <c r="N49" i="49"/>
  <c r="N51" i="49"/>
  <c r="N53" i="49"/>
  <c r="K77" i="50"/>
  <c r="M77" i="50"/>
  <c r="L46" i="50"/>
  <c r="K75" i="50" l="1"/>
  <c r="N50" i="49"/>
  <c r="N52" i="49"/>
  <c r="N48" i="49"/>
  <c r="M58" i="49"/>
  <c r="K46" i="50"/>
  <c r="K45" i="29"/>
  <c r="K33" i="49"/>
  <c r="M45" i="29"/>
  <c r="M46" i="50"/>
  <c r="N41" i="29"/>
  <c r="N45" i="29"/>
  <c r="P20" i="49"/>
  <c r="K51" i="49"/>
  <c r="K53" i="49"/>
  <c r="K49" i="49"/>
  <c r="K46" i="29" l="1"/>
  <c r="K47" i="29"/>
  <c r="K48" i="29" s="1"/>
  <c r="P61" i="49"/>
  <c r="P59" i="49"/>
  <c r="N47" i="29"/>
  <c r="N48" i="29" s="1"/>
  <c r="N46" i="29"/>
  <c r="L68" i="50"/>
  <c r="L71" i="50" s="1"/>
  <c r="L21" i="50"/>
  <c r="L25" i="50" s="1"/>
  <c r="P46" i="50"/>
  <c r="O61" i="49"/>
  <c r="O16" i="49"/>
  <c r="O22" i="49" s="1"/>
  <c r="O59" i="49"/>
  <c r="K35" i="49"/>
  <c r="K47" i="49"/>
  <c r="K55" i="49"/>
  <c r="M21" i="50"/>
  <c r="M25" i="50" s="1"/>
  <c r="M68" i="50"/>
  <c r="M71" i="50" s="1"/>
  <c r="M47" i="29"/>
  <c r="M48" i="29" s="1"/>
  <c r="M46" i="29"/>
  <c r="K68" i="50"/>
  <c r="K71" i="50" s="1"/>
  <c r="K21" i="50"/>
  <c r="K25" i="50" s="1"/>
  <c r="O21" i="50"/>
  <c r="O25" i="50" s="1"/>
  <c r="O60" i="49" l="1"/>
  <c r="M31" i="50"/>
  <c r="M34" i="50" s="1"/>
  <c r="M28" i="50"/>
  <c r="M29" i="50" s="1"/>
  <c r="M59" i="49"/>
  <c r="M61" i="49"/>
  <c r="M16" i="49"/>
  <c r="M22" i="49" s="1"/>
  <c r="K52" i="49"/>
  <c r="K48" i="49"/>
  <c r="K50" i="49"/>
  <c r="O23" i="49"/>
  <c r="O29" i="49" s="1"/>
  <c r="O28" i="49"/>
  <c r="K28" i="50"/>
  <c r="K29" i="50" s="1"/>
  <c r="K31" i="50"/>
  <c r="K34" i="50" s="1"/>
  <c r="P16" i="49"/>
  <c r="P58" i="49"/>
  <c r="O28" i="50"/>
  <c r="O29" i="50" s="1"/>
  <c r="O31" i="50"/>
  <c r="O34" i="50" s="1"/>
  <c r="L28" i="50"/>
  <c r="L29" i="50" s="1"/>
  <c r="L31" i="50"/>
  <c r="L34" i="50" s="1"/>
  <c r="O36" i="49" l="1"/>
  <c r="O33" i="49"/>
  <c r="L37" i="50"/>
  <c r="L38" i="50" s="1"/>
  <c r="L40" i="50"/>
  <c r="L47" i="50" s="1"/>
  <c r="L50" i="50" s="1"/>
  <c r="L51" i="50" s="1"/>
  <c r="P22" i="49"/>
  <c r="P60" i="49"/>
  <c r="M28" i="49"/>
  <c r="M23" i="49"/>
  <c r="M29" i="49" s="1"/>
  <c r="K40" i="50"/>
  <c r="K47" i="50" s="1"/>
  <c r="K50" i="50" s="1"/>
  <c r="K51" i="50" s="1"/>
  <c r="K37" i="50"/>
  <c r="K38" i="50" s="1"/>
  <c r="M60" i="49"/>
  <c r="O40" i="50"/>
  <c r="O47" i="50" s="1"/>
  <c r="O50" i="50" s="1"/>
  <c r="O51" i="50" s="1"/>
  <c r="O37" i="50"/>
  <c r="O38" i="50" s="1"/>
  <c r="M37" i="50"/>
  <c r="M38" i="50" s="1"/>
  <c r="M40" i="50"/>
  <c r="M47" i="50" s="1"/>
  <c r="M50" i="50" s="1"/>
  <c r="M51" i="50" s="1"/>
  <c r="M36" i="49" l="1"/>
  <c r="M33" i="49"/>
  <c r="P28" i="49"/>
  <c r="P23" i="49"/>
  <c r="P29" i="49" s="1"/>
  <c r="O35" i="49"/>
  <c r="O47" i="49"/>
  <c r="O55" i="49"/>
  <c r="O51" i="49"/>
  <c r="O53" i="49"/>
  <c r="O49" i="49"/>
  <c r="O50" i="49" l="1"/>
  <c r="O48" i="49"/>
  <c r="O52" i="49"/>
  <c r="P36" i="49"/>
  <c r="P33" i="49"/>
  <c r="M55" i="49"/>
  <c r="M35" i="49"/>
  <c r="M47" i="49"/>
  <c r="M53" i="49"/>
  <c r="M51" i="49"/>
  <c r="M49" i="49"/>
  <c r="P47" i="49" l="1"/>
  <c r="P55" i="49"/>
  <c r="P35" i="49"/>
  <c r="P49" i="49"/>
  <c r="P51" i="49"/>
  <c r="P53" i="49"/>
  <c r="M50" i="49"/>
  <c r="M52" i="49"/>
  <c r="M48" i="49"/>
  <c r="P52" i="49" l="1"/>
  <c r="P48" i="49"/>
  <c r="P50" i="49"/>
  <c r="P21" i="50" l="1"/>
  <c r="P25" i="50" s="1"/>
  <c r="P28" i="50" l="1"/>
  <c r="P29" i="50" s="1"/>
  <c r="P31" i="50"/>
  <c r="P34" i="50" s="1"/>
  <c r="P37" i="50" l="1"/>
  <c r="P38" i="50" s="1"/>
  <c r="P40" i="50"/>
  <c r="P47" i="50" s="1"/>
  <c r="P50" i="50" s="1"/>
  <c r="P51" i="50" s="1"/>
</calcChain>
</file>

<file path=xl/sharedStrings.xml><?xml version="1.0" encoding="utf-8"?>
<sst xmlns="http://schemas.openxmlformats.org/spreadsheetml/2006/main" count="1120" uniqueCount="729">
  <si>
    <t>(million €)</t>
  </si>
  <si>
    <t>Net interest income</t>
  </si>
  <si>
    <t>Staff costs</t>
  </si>
  <si>
    <t>Profit before Tax</t>
  </si>
  <si>
    <t>CONSOLIDATED BALANCE SHEET</t>
  </si>
  <si>
    <t>ASSETS</t>
  </si>
  <si>
    <t>Income tax expense</t>
  </si>
  <si>
    <t>Depreciation and amortization</t>
  </si>
  <si>
    <t>Greece</t>
  </si>
  <si>
    <t>Abroad</t>
  </si>
  <si>
    <t>LIABILITIES &amp; EQUITY</t>
  </si>
  <si>
    <t>CONSOLIDATED CUSTOMER DEPOSITS (per product type)</t>
  </si>
  <si>
    <t>CONSOLIDATED LOANS (per customer type)</t>
  </si>
  <si>
    <t>Group</t>
  </si>
  <si>
    <t>Affiliate companies in Greece</t>
  </si>
  <si>
    <t>OTHER INFORMATION</t>
  </si>
  <si>
    <t># Shares</t>
  </si>
  <si>
    <t>Ratings</t>
  </si>
  <si>
    <t>Back to Cover</t>
  </si>
  <si>
    <t>1. Savings</t>
  </si>
  <si>
    <t>2. Sight deposits and other deposits</t>
  </si>
  <si>
    <t>Composition</t>
  </si>
  <si>
    <t>CONSOLIDATED LOAN PORTFOLIO QUALITY</t>
  </si>
  <si>
    <t>ANALYSIS OF SELECTED BALANCE SHEET ITEMS</t>
  </si>
  <si>
    <t>1. Cash and balances with central banks</t>
  </si>
  <si>
    <t xml:space="preserve">2. Loans and advances to credit institutions  </t>
  </si>
  <si>
    <t>LOAN PORTFOLIO QUALITY</t>
  </si>
  <si>
    <t>Impairment losses on loans</t>
  </si>
  <si>
    <t>2. Mortgage loans</t>
  </si>
  <si>
    <t xml:space="preserve">3. Consumer loans </t>
  </si>
  <si>
    <t>LLRs</t>
  </si>
  <si>
    <t>LLRs / NPLs</t>
  </si>
  <si>
    <t>LLRs / gross loans</t>
  </si>
  <si>
    <t>QoQ</t>
  </si>
  <si>
    <t>3. Mortgage loans</t>
  </si>
  <si>
    <t xml:space="preserve">4. Consumer loans </t>
  </si>
  <si>
    <t>Discontinued operations</t>
  </si>
  <si>
    <t>Piraeus Bank Greece</t>
  </si>
  <si>
    <t>ECB</t>
  </si>
  <si>
    <t>Other</t>
  </si>
  <si>
    <t>CAPITAL ADEQUACY</t>
  </si>
  <si>
    <t>amounts in € mn</t>
  </si>
  <si>
    <t xml:space="preserve">Abroad </t>
  </si>
  <si>
    <t>CONSOLIDATED P&amp;L</t>
  </si>
  <si>
    <t>Consolidated P&amp;L</t>
  </si>
  <si>
    <t>NPEs / gross loans</t>
  </si>
  <si>
    <t>NPEs</t>
  </si>
  <si>
    <t>LLRs / NPEs</t>
  </si>
  <si>
    <t>Group (continued operations)</t>
  </si>
  <si>
    <t>Discontinued &amp; held for sale operations</t>
  </si>
  <si>
    <t>Branches</t>
  </si>
  <si>
    <t xml:space="preserve">Employees </t>
  </si>
  <si>
    <t>Reported</t>
  </si>
  <si>
    <t>Re-defaults</t>
  </si>
  <si>
    <t>Defaults</t>
  </si>
  <si>
    <t>NPE | End of period</t>
  </si>
  <si>
    <t>Write-offs</t>
  </si>
  <si>
    <t>Curings, Collections, Liquidations</t>
  </si>
  <si>
    <t>Total Regulatory Capital</t>
  </si>
  <si>
    <t>Risk Weighted Assets</t>
  </si>
  <si>
    <t>Common Equity Tier I</t>
  </si>
  <si>
    <t>Common Equity Tier I ratio</t>
  </si>
  <si>
    <t>Total Capital Ratio</t>
  </si>
  <si>
    <t>4. Mortgage loans</t>
  </si>
  <si>
    <t xml:space="preserve">5. Consumer loans </t>
  </si>
  <si>
    <t>6. Loans to Individuals</t>
  </si>
  <si>
    <t>DBRS</t>
  </si>
  <si>
    <t>Group data, amounts in €mn</t>
  </si>
  <si>
    <t>Loans</t>
  </si>
  <si>
    <t>Bancassurance</t>
  </si>
  <si>
    <t>Brokerage</t>
  </si>
  <si>
    <t>Financing</t>
  </si>
  <si>
    <t>Investment</t>
  </si>
  <si>
    <t>Payments</t>
  </si>
  <si>
    <t>Total</t>
  </si>
  <si>
    <t>Rents - maintenance</t>
  </si>
  <si>
    <t>Marketing - subscriptions</t>
  </si>
  <si>
    <t>Taxes</t>
  </si>
  <si>
    <t>DGS - SRF</t>
  </si>
  <si>
    <t>Share &amp; stock market data</t>
  </si>
  <si>
    <t>Price/tangible book ratio</t>
  </si>
  <si>
    <t>Tangible book value per share (€)</t>
  </si>
  <si>
    <t>Stage 1</t>
  </si>
  <si>
    <t>Stage 2</t>
  </si>
  <si>
    <t>CUSTOMER FUNDS</t>
  </si>
  <si>
    <t>1. Customer funds</t>
  </si>
  <si>
    <t>2. Saving and sight deposits</t>
  </si>
  <si>
    <t>3. Time deposits</t>
  </si>
  <si>
    <t>Retail</t>
  </si>
  <si>
    <t>CORE TOTAL</t>
  </si>
  <si>
    <t>GROUP</t>
  </si>
  <si>
    <t>Pre-tax RoA</t>
  </si>
  <si>
    <t>LOAN BOOK EXPOSURE</t>
  </si>
  <si>
    <t xml:space="preserve">Mortgages </t>
  </si>
  <si>
    <t>Total loans</t>
  </si>
  <si>
    <t>LOAN LOSS RESERVES</t>
  </si>
  <si>
    <t>PERFORMING LOANS</t>
  </si>
  <si>
    <t xml:space="preserve">     &gt;&gt; SB</t>
  </si>
  <si>
    <t xml:space="preserve">     &gt;&gt; Shipping</t>
  </si>
  <si>
    <t xml:space="preserve">    &gt;&gt;Mortgage loans</t>
  </si>
  <si>
    <t>Industry</t>
  </si>
  <si>
    <t>Manufacturing</t>
  </si>
  <si>
    <t>Hospitality</t>
  </si>
  <si>
    <t>Energy</t>
  </si>
  <si>
    <t>Segments</t>
  </si>
  <si>
    <t>PROFIT/(LOSS)</t>
  </si>
  <si>
    <t>BALANCE SHEET</t>
  </si>
  <si>
    <t>FINANCIAL HIGHLIGHTS</t>
  </si>
  <si>
    <t>NET INTEREST INCOME</t>
  </si>
  <si>
    <t>IFRS9 STAGES</t>
  </si>
  <si>
    <t>NPE FLOW DECOMPOSITION</t>
  </si>
  <si>
    <t xml:space="preserve">   &gt;&gt;Consumer loans &amp; credit cards</t>
  </si>
  <si>
    <t>Consumer loans/Credit cards</t>
  </si>
  <si>
    <t>EPS reported (€)</t>
  </si>
  <si>
    <t xml:space="preserve">Net fee and commission income </t>
  </si>
  <si>
    <t>NPEMU</t>
  </si>
  <si>
    <t>Corporate &amp; IB</t>
  </si>
  <si>
    <t>Financial markets</t>
  </si>
  <si>
    <t>Senior notes</t>
  </si>
  <si>
    <t xml:space="preserve">       of which one off items</t>
  </si>
  <si>
    <t>Total OpEx</t>
  </si>
  <si>
    <t>Impairments for loans</t>
  </si>
  <si>
    <t>Tax</t>
  </si>
  <si>
    <t>RATIOS &amp; METRICS</t>
  </si>
  <si>
    <t>SECURITIES (debt &amp; equity securities)</t>
  </si>
  <si>
    <t>Depreciation</t>
  </si>
  <si>
    <t>B (Positive)</t>
  </si>
  <si>
    <t>Core EPS  (€)</t>
  </si>
  <si>
    <t>Market capitalization (€mn)</t>
  </si>
  <si>
    <t>of which one-off</t>
  </si>
  <si>
    <t>Core EPS adj for AT1</t>
  </si>
  <si>
    <t>Normalized EPS adj for AT1</t>
  </si>
  <si>
    <t>Reported EPS adjusted for AT1</t>
  </si>
  <si>
    <t>Minorities</t>
  </si>
  <si>
    <t>Price/earnings normalized (%)</t>
  </si>
  <si>
    <t>EPS normalized (€)</t>
  </si>
  <si>
    <t>EPS CALCULATIONS</t>
  </si>
  <si>
    <t>Operating expenses</t>
  </si>
  <si>
    <t>Core EPS</t>
  </si>
  <si>
    <t>Normalized EPS</t>
  </si>
  <si>
    <t>Reported EPS adjusted</t>
  </si>
  <si>
    <t>n.m.</t>
  </si>
  <si>
    <t>IT - telco</t>
  </si>
  <si>
    <t>-</t>
  </si>
  <si>
    <t>Other impairments &amp; associates' income</t>
  </si>
  <si>
    <t>NIM on average assets</t>
  </si>
  <si>
    <t xml:space="preserve">     o/w Senior notes</t>
  </si>
  <si>
    <t>Ba3 (Stable)</t>
  </si>
  <si>
    <t>B high (Stable)</t>
  </si>
  <si>
    <t>Total inflows</t>
  </si>
  <si>
    <t>o/w business</t>
  </si>
  <si>
    <t>o/w mortgage</t>
  </si>
  <si>
    <t>o/w consumer</t>
  </si>
  <si>
    <t>NPEs | Beginning of period</t>
  </si>
  <si>
    <t>Q1 2023</t>
  </si>
  <si>
    <t>Q1.23</t>
  </si>
  <si>
    <t>Q2.23</t>
  </si>
  <si>
    <t>Q2 2023</t>
  </si>
  <si>
    <t>Tax normalized</t>
  </si>
  <si>
    <t>B+ (Positive)</t>
  </si>
  <si>
    <t>* Gross loans, NPEs &amp; NPLs include loans and advances to customers fair valued through P&amp;L. LLRs include ECL allowance for impairment losses on loans and advances to customers mandatorily measured at FVTPL</t>
  </si>
  <si>
    <t>NFI/Assets</t>
  </si>
  <si>
    <t>6. Securities inc. derivatives</t>
  </si>
  <si>
    <t>* Q2.23 business inflow elevated due to one corporate  client defaulting</t>
  </si>
  <si>
    <t>Q3.23</t>
  </si>
  <si>
    <t>Q3 2023</t>
  </si>
  <si>
    <t>Ba1 (Positive)</t>
  </si>
  <si>
    <t>BB- (Stable)</t>
  </si>
  <si>
    <t>NII/Assets</t>
  </si>
  <si>
    <t xml:space="preserve">          of which G&amp;A costs recurring</t>
  </si>
  <si>
    <t>Net revenues</t>
  </si>
  <si>
    <t>General expenses</t>
  </si>
  <si>
    <t>Net profit from continuing operations attributable to SHs</t>
  </si>
  <si>
    <t>Tangible equity</t>
  </si>
  <si>
    <t>Total equity</t>
  </si>
  <si>
    <t>NPE ratio</t>
  </si>
  <si>
    <t>Financial highlights</t>
  </si>
  <si>
    <t>EPS calculations</t>
  </si>
  <si>
    <t>Consolidated balance sheet</t>
  </si>
  <si>
    <t>Analysis of selected balance sheet items</t>
  </si>
  <si>
    <t>P&amp;L segment view</t>
  </si>
  <si>
    <t>Performing loans</t>
  </si>
  <si>
    <t>Loan portfolio quality</t>
  </si>
  <si>
    <t>IFRS9 stages</t>
  </si>
  <si>
    <t>NPE flow decomposition</t>
  </si>
  <si>
    <t>Capital adequacy</t>
  </si>
  <si>
    <t>Other information</t>
  </si>
  <si>
    <t xml:space="preserve">          of which staff costs recurring</t>
  </si>
  <si>
    <t xml:space="preserve">          of which depreciation recurring</t>
  </si>
  <si>
    <t>Associates' income</t>
  </si>
  <si>
    <t>Core operating profit</t>
  </si>
  <si>
    <t>AT1 coupon (mn)</t>
  </si>
  <si>
    <t>Normalized operating profit adjusted for AT1 cpn (mn)</t>
  </si>
  <si>
    <t>Reported net profit</t>
  </si>
  <si>
    <t>Reported net profit adjusted for AT1 cpn (mn)</t>
  </si>
  <si>
    <t>Outstanding number of shares (#)</t>
  </si>
  <si>
    <t>4. Cumulative provisions</t>
  </si>
  <si>
    <t>1. Loans to corporate entities</t>
  </si>
  <si>
    <t>3. Senior notes (HAPS securitizations)</t>
  </si>
  <si>
    <t>7. Total gross loans to customers</t>
  </si>
  <si>
    <t>6. Loans to individuals</t>
  </si>
  <si>
    <t xml:space="preserve">4. Total customer deposits </t>
  </si>
  <si>
    <t>4. Total customer deposits</t>
  </si>
  <si>
    <t>Core income</t>
  </si>
  <si>
    <t>Total net revenues</t>
  </si>
  <si>
    <t>Operating cost</t>
  </si>
  <si>
    <t>Profit before tax &amp; provisions</t>
  </si>
  <si>
    <t>Non controlling Interests</t>
  </si>
  <si>
    <t xml:space="preserve">Net profit / (Loss) attributable to shareholders </t>
  </si>
  <si>
    <t>Net Profit / (Loss) attributable to shareholders from discontinued operations</t>
  </si>
  <si>
    <t>Non controlling interests from discontinued operations</t>
  </si>
  <si>
    <t>Net loans</t>
  </si>
  <si>
    <t>Fixed income securities</t>
  </si>
  <si>
    <t>IRS asset side</t>
  </si>
  <si>
    <t>Other assets</t>
  </si>
  <si>
    <t>Interest income</t>
  </si>
  <si>
    <t>Customer deposits</t>
  </si>
  <si>
    <t>Due to banks including TLTRO</t>
  </si>
  <si>
    <t>Debt securities</t>
  </si>
  <si>
    <t>IRS liability side</t>
  </si>
  <si>
    <t>Other liabilities</t>
  </si>
  <si>
    <t>Interest expense</t>
  </si>
  <si>
    <t>Letters of guarantee</t>
  </si>
  <si>
    <t>Investment banking</t>
  </si>
  <si>
    <t>Asset management</t>
  </si>
  <si>
    <t>Funds transfer</t>
  </si>
  <si>
    <t>FX fees</t>
  </si>
  <si>
    <t>Rental and other income</t>
  </si>
  <si>
    <t>Legal - business services</t>
  </si>
  <si>
    <t>Pre provision income (PPI)</t>
  </si>
  <si>
    <t>Other impairment</t>
  </si>
  <si>
    <t>Associates income</t>
  </si>
  <si>
    <t>NIM over assets</t>
  </si>
  <si>
    <t>NFI and rental Income over assets</t>
  </si>
  <si>
    <t>Cost to core income</t>
  </si>
  <si>
    <t>PPI over assets</t>
  </si>
  <si>
    <t>Cost of risk</t>
  </si>
  <si>
    <t>Corporate lending</t>
  </si>
  <si>
    <t xml:space="preserve">     &gt;&gt; Large corporate</t>
  </si>
  <si>
    <t>Retail lending</t>
  </si>
  <si>
    <t>Trade (retail &amp; wholesale)</t>
  </si>
  <si>
    <t>Construction &amp; real estate</t>
  </si>
  <si>
    <t>Transportation (incl shipping)</t>
  </si>
  <si>
    <t>Gross loans</t>
  </si>
  <si>
    <t>1. Loans to businesses</t>
  </si>
  <si>
    <t>5. Loans to individuals</t>
  </si>
  <si>
    <t>6. Total gross loans to customers</t>
  </si>
  <si>
    <t>Loans in arrears &gt; 90 days</t>
  </si>
  <si>
    <t>4. Loans to individuals</t>
  </si>
  <si>
    <t>5. Total loans in arrears</t>
  </si>
  <si>
    <t>5. Total loans to customers</t>
  </si>
  <si>
    <t>Loans in arrears &gt; 90 days / gross loans</t>
  </si>
  <si>
    <t>Corporate and public loans</t>
  </si>
  <si>
    <t>Phased in data</t>
  </si>
  <si>
    <t>* CORE: excluding one off elements and trading/other income; NORMALIZED: excluding one off elements and including normalized/recurring trading/other income</t>
  </si>
  <si>
    <t>Trading &amp; other income</t>
  </si>
  <si>
    <t>Other operating result</t>
  </si>
  <si>
    <t>AT1 coupon</t>
  </si>
  <si>
    <t>Core operating profit adjusted for AT1 cpn</t>
  </si>
  <si>
    <t>PIRAEUS BANK CREDIT RATINGS
(outlook)</t>
  </si>
  <si>
    <t>EMPLOYEES PER COUNTRY (#)</t>
  </si>
  <si>
    <t>NUMBER OF SHARES</t>
  </si>
  <si>
    <t>SHARE &amp; STOCK MARKET DATA</t>
  </si>
  <si>
    <t>BRANCHES PER COUNTRY (#)</t>
  </si>
  <si>
    <t>STAFF COSTS</t>
  </si>
  <si>
    <t xml:space="preserve">G&amp;A COSTS  </t>
  </si>
  <si>
    <t>GROUP FIGURES</t>
  </si>
  <si>
    <t>Q4.23</t>
  </si>
  <si>
    <t>Q4 2023</t>
  </si>
  <si>
    <t>BB- (Positive)</t>
  </si>
  <si>
    <t>BB (Stable)</t>
  </si>
  <si>
    <t>TBV per share</t>
  </si>
  <si>
    <t xml:space="preserve">Rental income and income from non-banking activities </t>
  </si>
  <si>
    <t>Q1.24</t>
  </si>
  <si>
    <t>Q1 2024</t>
  </si>
  <si>
    <t>Credit protection costs</t>
  </si>
  <si>
    <t>Servicing fees</t>
  </si>
  <si>
    <t>o/w servicing fees</t>
  </si>
  <si>
    <t>o/w credit protection costs</t>
  </si>
  <si>
    <t>Transaction Banking</t>
  </si>
  <si>
    <t xml:space="preserve">       of which one off trading &amp; other operating items</t>
  </si>
  <si>
    <t>5. Mutual funds</t>
  </si>
  <si>
    <t>7. Private &amp; institutional portfolios</t>
  </si>
  <si>
    <t>8. Total customer assets</t>
  </si>
  <si>
    <t>Assets</t>
  </si>
  <si>
    <t>MREL ratio</t>
  </si>
  <si>
    <t>MREL eligible liabilities</t>
  </si>
  <si>
    <t>Issuer</t>
  </si>
  <si>
    <t>Amount(€)</t>
  </si>
  <si>
    <t>Coupon</t>
  </si>
  <si>
    <t>Issue Date</t>
  </si>
  <si>
    <t>Call Date</t>
  </si>
  <si>
    <t>Reset Spread</t>
  </si>
  <si>
    <t>Maturity</t>
  </si>
  <si>
    <t>Denomination</t>
  </si>
  <si>
    <t>ISIN</t>
  </si>
  <si>
    <t>Documentation</t>
  </si>
  <si>
    <t xml:space="preserve">Piraeus Bank S.A. </t>
  </si>
  <si>
    <t>3.875% | Annual</t>
  </si>
  <si>
    <t>03-Nov-21</t>
  </si>
  <si>
    <t>03-Nov-26</t>
  </si>
  <si>
    <t>394.8 bps</t>
  </si>
  <si>
    <t>03-Nov-27</t>
  </si>
  <si>
    <t>100k +1k</t>
  </si>
  <si>
    <t>XS2400040460</t>
  </si>
  <si>
    <t>EMTN PROGRAMME</t>
  </si>
  <si>
    <t>7.25% | Annual</t>
  </si>
  <si>
    <t>13-Jul-23</t>
  </si>
  <si>
    <t>13-Jul-27</t>
  </si>
  <si>
    <t>369.2 bps</t>
  </si>
  <si>
    <t>13-Jul-28</t>
  </si>
  <si>
    <t>XS2644936259</t>
  </si>
  <si>
    <t>6.75% | Annual</t>
  </si>
  <si>
    <t>05-Dec-23</t>
  </si>
  <si>
    <t>05-Dec-28</t>
  </si>
  <si>
    <t>383.7 bps</t>
  </si>
  <si>
    <t>05-Dec-29</t>
  </si>
  <si>
    <t>XS2728486536</t>
  </si>
  <si>
    <t>5.00% | Annual</t>
  </si>
  <si>
    <t>16-Apr-24</t>
  </si>
  <si>
    <t>16-Apr-29</t>
  </si>
  <si>
    <t>224.5 bps</t>
  </si>
  <si>
    <t>16-Apr-30</t>
  </si>
  <si>
    <t>XS2802909478</t>
  </si>
  <si>
    <t>477.3 bps</t>
  </si>
  <si>
    <t>XS2747093321</t>
  </si>
  <si>
    <t>8.75% | Semi-Annual</t>
  </si>
  <si>
    <t>16-Jun-21</t>
  </si>
  <si>
    <t>16-Jun-26</t>
  </si>
  <si>
    <t>919.5 bps</t>
  </si>
  <si>
    <t>Perpetual</t>
  </si>
  <si>
    <t>200k +1k</t>
  </si>
  <si>
    <t xml:space="preserve">XS2354777265 </t>
  </si>
  <si>
    <t>STANDALONE</t>
  </si>
  <si>
    <t>€500mn 3.875% 
6NC5 SP Green Notes 
due 2027</t>
  </si>
  <si>
    <t>€500mn 7.25% 
5NC4 SP Notes 
due 2028</t>
  </si>
  <si>
    <t>€500mn 6.75% 
6NC5 SP Notes 
due 2029</t>
  </si>
  <si>
    <t>€500mn 5.00% 
6NC5 SP Notes 
due 2030</t>
  </si>
  <si>
    <t xml:space="preserve">€500mn 7.250% 
10.25NC5.25 Tier 2 
due 2034 </t>
  </si>
  <si>
    <t>6. Piraeus Securities</t>
  </si>
  <si>
    <t>Avg 3m Euribor</t>
  </si>
  <si>
    <t>Fixed income securities yield</t>
  </si>
  <si>
    <t>Debt securities cost</t>
  </si>
  <si>
    <t>Customer deposits cost</t>
  </si>
  <si>
    <t>1. Amortised cost</t>
  </si>
  <si>
    <t>2. GGBs</t>
  </si>
  <si>
    <t>4. EU Sovereign</t>
  </si>
  <si>
    <t>5. Other Bonds</t>
  </si>
  <si>
    <t>6. FVTOCI</t>
  </si>
  <si>
    <t>7. GGBs</t>
  </si>
  <si>
    <t>9. EU Sovereign</t>
  </si>
  <si>
    <t>10. Other Bonds</t>
  </si>
  <si>
    <t>11. Equity</t>
  </si>
  <si>
    <t>12. FVTPL</t>
  </si>
  <si>
    <t>13. GGBs</t>
  </si>
  <si>
    <t>15. EU Sovereign</t>
  </si>
  <si>
    <t>16. Other Bonds</t>
  </si>
  <si>
    <t>17. Equity</t>
  </si>
  <si>
    <t>18. Derivative financial instruments</t>
  </si>
  <si>
    <t>19. Total securities</t>
  </si>
  <si>
    <t>Q2 2024</t>
  </si>
  <si>
    <t>Q2.24</t>
  </si>
  <si>
    <r>
      <t xml:space="preserve">Total CIB </t>
    </r>
    <r>
      <rPr>
        <sz val="12"/>
        <color rgb="FF002F30"/>
        <rFont val="Piraeus Open Sans"/>
        <family val="3"/>
      </rPr>
      <t>(Corporate, SME &amp; Shipping)</t>
    </r>
  </si>
  <si>
    <r>
      <t>Pro-Forma</t>
    </r>
    <r>
      <rPr>
        <b/>
        <vertAlign val="superscript"/>
        <sz val="12"/>
        <color rgb="FF002F30"/>
        <rFont val="Piraeus Open Sans"/>
        <family val="3"/>
      </rPr>
      <t>(1)</t>
    </r>
  </si>
  <si>
    <r>
      <t xml:space="preserve">Profit before tax </t>
    </r>
    <r>
      <rPr>
        <b/>
        <sz val="12"/>
        <color rgb="FF296ED4"/>
        <rFont val="Piraeus Open Sans"/>
        <family val="3"/>
      </rPr>
      <t>reported</t>
    </r>
  </si>
  <si>
    <r>
      <rPr>
        <sz val="12"/>
        <color rgb="FF002F30"/>
        <rFont val="Piraeus Open Sans"/>
        <family val="3"/>
      </rPr>
      <t xml:space="preserve">Trading &amp; other income </t>
    </r>
    <r>
      <rPr>
        <b/>
        <sz val="12"/>
        <color rgb="FF296ED4"/>
        <rFont val="Piraeus Open Sans"/>
        <family val="3"/>
      </rPr>
      <t>normalized</t>
    </r>
  </si>
  <si>
    <r>
      <t>Core EPS (€)</t>
    </r>
    <r>
      <rPr>
        <b/>
        <sz val="12"/>
        <color rgb="FFA8A30A"/>
        <rFont val="Piraeus Open Sans"/>
        <family val="3"/>
      </rPr>
      <t xml:space="preserve"> </t>
    </r>
    <r>
      <rPr>
        <b/>
        <sz val="12"/>
        <color rgb="FF296ED4"/>
        <rFont val="Piraeus Open Sans"/>
        <family val="3"/>
      </rPr>
      <t>adjusted for AT1 coupon</t>
    </r>
  </si>
  <si>
    <r>
      <t>Normalized EPS (€)</t>
    </r>
    <r>
      <rPr>
        <b/>
        <sz val="12"/>
        <color rgb="FF296ED4"/>
        <rFont val="Piraeus Open Sans"/>
        <family val="3"/>
      </rPr>
      <t xml:space="preserve"> adjusted for AT1 coupon</t>
    </r>
  </si>
  <si>
    <r>
      <t>Reported EPS (€)</t>
    </r>
    <r>
      <rPr>
        <b/>
        <sz val="12"/>
        <color theme="0" tint="-0.499984740745262"/>
        <rFont val="Piraeus Open Sans"/>
        <family val="3"/>
      </rPr>
      <t xml:space="preserve"> </t>
    </r>
    <r>
      <rPr>
        <b/>
        <sz val="12"/>
        <color rgb="FF296ED4"/>
        <rFont val="Piraeus Open Sans"/>
        <family val="3"/>
      </rPr>
      <t>adjusted for AT1 coupon</t>
    </r>
  </si>
  <si>
    <r>
      <t xml:space="preserve">RoaTBV </t>
    </r>
    <r>
      <rPr>
        <b/>
        <sz val="12"/>
        <color rgb="FF296ED4"/>
        <rFont val="Piraeus Open Sans"/>
        <family val="3"/>
      </rPr>
      <t>normalized adjusted for AT1 coupon</t>
    </r>
  </si>
  <si>
    <r>
      <t xml:space="preserve">RoaA </t>
    </r>
    <r>
      <rPr>
        <b/>
        <sz val="12"/>
        <color rgb="FF296ED4"/>
        <rFont val="Piraeus Open Sans"/>
        <family val="3"/>
      </rPr>
      <t>normalized adjusted for AT1 coupon</t>
    </r>
  </si>
  <si>
    <r>
      <t>Net profit over revenues</t>
    </r>
    <r>
      <rPr>
        <b/>
        <sz val="12"/>
        <color rgb="FFA8A30A"/>
        <rFont val="Piraeus Open Sans"/>
        <family val="3"/>
      </rPr>
      <t xml:space="preserve"> </t>
    </r>
    <r>
      <rPr>
        <b/>
        <sz val="12"/>
        <color rgb="FF296ED4"/>
        <rFont val="Piraeus Open Sans"/>
        <family val="3"/>
      </rPr>
      <t>core adjusted for AT1 coupon</t>
    </r>
  </si>
  <si>
    <r>
      <t xml:space="preserve">Cost-to-income ratio </t>
    </r>
    <r>
      <rPr>
        <b/>
        <sz val="12"/>
        <color rgb="FF296ED4"/>
        <rFont val="Piraeus Open Sans"/>
        <family val="3"/>
      </rPr>
      <t>core</t>
    </r>
  </si>
  <si>
    <r>
      <t xml:space="preserve">CoR </t>
    </r>
    <r>
      <rPr>
        <b/>
        <sz val="12"/>
        <color rgb="FF296ED4"/>
        <rFont val="Piraeus Open Sans"/>
        <family val="3"/>
      </rPr>
      <t>underlying</t>
    </r>
  </si>
  <si>
    <r>
      <t xml:space="preserve">CoR </t>
    </r>
    <r>
      <rPr>
        <b/>
        <sz val="12"/>
        <color rgb="FF296ED4"/>
        <rFont val="Piraeus Open Sans"/>
        <family val="3"/>
      </rPr>
      <t>organic</t>
    </r>
  </si>
  <si>
    <r>
      <t xml:space="preserve">Pre provision income </t>
    </r>
    <r>
      <rPr>
        <b/>
        <sz val="12"/>
        <color rgb="FF296ED4"/>
        <rFont val="Piraeus Open Sans"/>
        <family val="3"/>
      </rPr>
      <t>normalized</t>
    </r>
  </si>
  <si>
    <t>Operating costs</t>
  </si>
  <si>
    <t>OPERATING COSTS</t>
  </si>
  <si>
    <t>4. Total property portfolio</t>
  </si>
  <si>
    <t>1. Investment property</t>
  </si>
  <si>
    <t>2. Inventory property</t>
  </si>
  <si>
    <t>3. Own property</t>
  </si>
  <si>
    <t>POCI not credit impaired</t>
  </si>
  <si>
    <t>Stage 3 &amp; POCI credit impaired</t>
  </si>
  <si>
    <t>CIB</t>
  </si>
  <si>
    <t>Mortgages</t>
  </si>
  <si>
    <t>Consumer/SB</t>
  </si>
  <si>
    <t>XS2845167613</t>
  </si>
  <si>
    <t>172.3 bps</t>
  </si>
  <si>
    <t>4.625% | Annual</t>
  </si>
  <si>
    <t>€650mn 4.625% 
5NC4 SP Green Notes 
due 2029</t>
  </si>
  <si>
    <t>3. G-TBills</t>
  </si>
  <si>
    <t>8. G-TBills</t>
  </si>
  <si>
    <t>14. G-TBills</t>
  </si>
  <si>
    <t>*POCI credit imapired refers to purchased or originated credit impaired (“POCI”) loans measured at amortised cost that continue to be credit impaired as of the end of the reporting period</t>
  </si>
  <si>
    <t>DEBT SECURITIES</t>
  </si>
  <si>
    <t>MREL ratio (Bank Group data)</t>
  </si>
  <si>
    <t>Q3 2024</t>
  </si>
  <si>
    <t>Q3.24</t>
  </si>
  <si>
    <t>€650mn 5.375%                                                                                     11NC6 T2 Notes 
due 2035</t>
  </si>
  <si>
    <t>5.375% | Annual</t>
  </si>
  <si>
    <t xml:space="preserve">XS2901369897 </t>
  </si>
  <si>
    <t>315 bps</t>
  </si>
  <si>
    <t>PE spreads</t>
  </si>
  <si>
    <t>Time</t>
  </si>
  <si>
    <t>Sight-savings</t>
  </si>
  <si>
    <t>Baa3 (Positive)</t>
  </si>
  <si>
    <t>BB (Positive)</t>
  </si>
  <si>
    <t>BB high (Positive)</t>
  </si>
  <si>
    <r>
      <t xml:space="preserve">Net profit </t>
    </r>
    <r>
      <rPr>
        <b/>
        <sz val="12"/>
        <color rgb="FF296ED4"/>
        <rFont val="Piraeus Open Sans"/>
        <family val="3"/>
      </rPr>
      <t>normalized</t>
    </r>
  </si>
  <si>
    <t>AT1</t>
  </si>
  <si>
    <t>Tier 2</t>
  </si>
  <si>
    <t>Senior Preferred</t>
  </si>
  <si>
    <t>* EPS figures are calculated with the outstanding number of shares. From Q1.24 onwards, EPS are calculated on period-end outstanding number of shares adjusted for treasury shares</t>
  </si>
  <si>
    <t>* From Q1.23 onwards, EPS are calculated on period-end outstanding number of shares adjusted for treasury shares</t>
  </si>
  <si>
    <t>Q4.24</t>
  </si>
  <si>
    <t>Q4 2024</t>
  </si>
  <si>
    <r>
      <t xml:space="preserve">NFI/Revenues </t>
    </r>
    <r>
      <rPr>
        <b/>
        <sz val="12"/>
        <color rgb="FF296ED4"/>
        <rFont val="Piraeus Open Sans"/>
        <family val="3"/>
      </rPr>
      <t>normalized</t>
    </r>
  </si>
  <si>
    <r>
      <t xml:space="preserve">RoaTBV </t>
    </r>
    <r>
      <rPr>
        <b/>
        <sz val="12"/>
        <color rgb="FF296ED4"/>
        <rFont val="Piraeus Open Sans"/>
        <family val="3"/>
      </rPr>
      <t>reported</t>
    </r>
    <r>
      <rPr>
        <b/>
        <sz val="12"/>
        <color rgb="FF002F30"/>
        <rFont val="Piraeus Open Sans"/>
        <family val="3"/>
      </rPr>
      <t xml:space="preserve"> </t>
    </r>
    <r>
      <rPr>
        <b/>
        <sz val="12"/>
        <color rgb="FF296ED4"/>
        <rFont val="Piraeus Open Sans"/>
        <family val="3"/>
      </rPr>
      <t>adjusted for AT1 coupon</t>
    </r>
  </si>
  <si>
    <r>
      <t xml:space="preserve">RoaA </t>
    </r>
    <r>
      <rPr>
        <b/>
        <sz val="12"/>
        <color rgb="FF296ED4"/>
        <rFont val="Piraeus Open Sans"/>
        <family val="3"/>
      </rPr>
      <t>reported adjusted for AT1 coupon</t>
    </r>
  </si>
  <si>
    <t>o/w one-off</t>
  </si>
  <si>
    <t xml:space="preserve">of which other one-off </t>
  </si>
  <si>
    <t>Ermis I</t>
  </si>
  <si>
    <t>Ermis II</t>
  </si>
  <si>
    <t>Ermis III</t>
  </si>
  <si>
    <t>Investors</t>
  </si>
  <si>
    <t>Effective date</t>
  </si>
  <si>
    <t>Type of loans</t>
  </si>
  <si>
    <t>CRC</t>
  </si>
  <si>
    <t>EIF / EIB</t>
  </si>
  <si>
    <t>amounts in €mn</t>
  </si>
  <si>
    <t>DK &amp; 400 Capital</t>
  </si>
  <si>
    <t>Ermis VII</t>
  </si>
  <si>
    <t>Ermis VI</t>
  </si>
  <si>
    <t>EBRD, CRC &amp; VELD</t>
  </si>
  <si>
    <t>EBRD &amp; CQS</t>
  </si>
  <si>
    <t>Portfolio perimeter 
at inception</t>
  </si>
  <si>
    <t>RWA release 
at inception</t>
  </si>
  <si>
    <t>Corporate / SME / SB</t>
  </si>
  <si>
    <t>Ermis IV (Triton)</t>
  </si>
  <si>
    <t>Shipping</t>
  </si>
  <si>
    <t>Ermis V (M)</t>
  </si>
  <si>
    <t>SYNTHETIC SECURITIZATIONS OF PERFORMING LOANS</t>
  </si>
  <si>
    <t>Synthetic securitizations of performing loans</t>
  </si>
  <si>
    <t>Other Discontinued</t>
  </si>
  <si>
    <t>Q1.25</t>
  </si>
  <si>
    <t>Q1 2025</t>
  </si>
  <si>
    <t>BB+ (Positive)</t>
  </si>
  <si>
    <t>BB+ (Stable)</t>
  </si>
  <si>
    <t>Baa2 (Stable)</t>
  </si>
  <si>
    <t>BBB (Stable)</t>
  </si>
  <si>
    <r>
      <t>Profit before tax</t>
    </r>
    <r>
      <rPr>
        <b/>
        <sz val="12"/>
        <color rgb="FF3885FF"/>
        <rFont val="Piraeus Open Sans"/>
        <family val="3"/>
      </rPr>
      <t xml:space="preserve"> </t>
    </r>
    <r>
      <rPr>
        <b/>
        <sz val="12"/>
        <color rgb="FF296ED4"/>
        <rFont val="Piraeus Open Sans"/>
        <family val="3"/>
      </rPr>
      <t>normalized</t>
    </r>
  </si>
  <si>
    <r>
      <t>Net profit</t>
    </r>
    <r>
      <rPr>
        <b/>
        <sz val="12"/>
        <color rgb="FF3885FF"/>
        <rFont val="Piraeus Open Sans"/>
        <family val="3"/>
      </rPr>
      <t xml:space="preserve"> </t>
    </r>
    <r>
      <rPr>
        <b/>
        <sz val="12"/>
        <color rgb="FF296ED4"/>
        <rFont val="Piraeus Open Sans"/>
        <family val="3"/>
      </rPr>
      <t>core</t>
    </r>
  </si>
  <si>
    <t>Core operating income</t>
  </si>
  <si>
    <t>** Loan figures do not include loans and advances to customers fair valued through P&amp;L. LLRs do not include ECL allowance for impairment losses on loans and advances to customers      mandatorily measured at FVTPL</t>
  </si>
  <si>
    <t>Q2 2025</t>
  </si>
  <si>
    <t>H1 2025</t>
  </si>
  <si>
    <t>Q2.25</t>
  </si>
  <si>
    <t xml:space="preserve">€400mn 6.75% 
PerpNC5.5 AT1 Notes </t>
  </si>
  <si>
    <t>6.75% | Semi-Annual</t>
  </si>
  <si>
    <t>459.6 bps</t>
  </si>
  <si>
    <t>200k x 1k</t>
  </si>
  <si>
    <t>XS3103647031</t>
  </si>
  <si>
    <t>€500mn 3.000% 
3.5NC2.5 SP Green Notes 
due 2028</t>
  </si>
  <si>
    <t>3.000% | Annual</t>
  </si>
  <si>
    <t>115 bps</t>
  </si>
  <si>
    <t>XS3085616079</t>
  </si>
  <si>
    <r>
      <t xml:space="preserve">Assets adjusted </t>
    </r>
    <r>
      <rPr>
        <sz val="12"/>
        <color rgb="FF002F30"/>
        <rFont val="Piraeus Open Sans"/>
        <family val="3"/>
      </rPr>
      <t>(excl. discontinued operations, seasonal agri-loan)</t>
    </r>
  </si>
  <si>
    <r>
      <t>2. Seasonal agri-loan</t>
    </r>
    <r>
      <rPr>
        <b/>
        <vertAlign val="superscript"/>
        <sz val="12"/>
        <color rgb="FF002F30"/>
        <rFont val="Piraeus Open Sans"/>
        <family val="3"/>
      </rPr>
      <t>1</t>
    </r>
  </si>
  <si>
    <t>(1) Agri-loan relates to a seasonal funding facility to Greek farmers (EU subsidized bridge financing); the loan is granted close to year end and is repaid early next year</t>
  </si>
  <si>
    <t>2.Seasonal agri-loan to farmers</t>
  </si>
  <si>
    <t>Rating (Moody's/S&amp;P/Fitch)</t>
  </si>
  <si>
    <t>Baa2 / BB+ / -</t>
  </si>
  <si>
    <t>Baa2 / - / -</t>
  </si>
  <si>
    <t>B1 / - / -</t>
  </si>
  <si>
    <t>3. Gross loans and advances to customers (includes loans at FVTPL)</t>
  </si>
  <si>
    <t>Cards</t>
  </si>
  <si>
    <t>Regulatory capital requirements</t>
  </si>
  <si>
    <t>Pillar 1 requirement</t>
  </si>
  <si>
    <t>Pillar 2 requirement</t>
  </si>
  <si>
    <t>Capital conservation buffer</t>
  </si>
  <si>
    <t>O-SII buffer</t>
  </si>
  <si>
    <t>CET1 requirement</t>
  </si>
  <si>
    <t>Overal capital requirement</t>
  </si>
  <si>
    <t>Pillar 2 guidance (P2G)</t>
  </si>
  <si>
    <t>Overall capital requirement plus P2G</t>
  </si>
  <si>
    <t>MREL requirement</t>
  </si>
  <si>
    <t>DIVIDENDS &amp; SHARE BUY BACK</t>
  </si>
  <si>
    <t>H2 2025</t>
  </si>
  <si>
    <t>Dividends (€mn)</t>
  </si>
  <si>
    <t>Net profit for the period  (€mn)</t>
  </si>
  <si>
    <t>Number of outstanding shares (#mn)</t>
  </si>
  <si>
    <t>31.03.2025</t>
  </si>
  <si>
    <t>31.12.2024</t>
  </si>
  <si>
    <t>31.12.2023</t>
  </si>
  <si>
    <t>CUSTOMERS' DATA</t>
  </si>
  <si>
    <t>Q3 2025</t>
  </si>
  <si>
    <t>Q3.25</t>
  </si>
  <si>
    <t xml:space="preserve">€600mn 6.125% 
PerpNC7 AT1 Notes </t>
  </si>
  <si>
    <t>6.125% | Semi-Annual</t>
  </si>
  <si>
    <t>369.6 bps</t>
  </si>
  <si>
    <t>XS3201977595</t>
  </si>
  <si>
    <t>Countercyclical buffer</t>
  </si>
  <si>
    <r>
      <t>€600mn 8.75% 
PerpNC5.5 AT1 Notes</t>
    </r>
    <r>
      <rPr>
        <b/>
        <vertAlign val="superscript"/>
        <sz val="11"/>
        <color rgb="FF002F30"/>
        <rFont val="Piraeus Open Sans"/>
        <family val="3"/>
      </rPr>
      <t>(1)</t>
    </r>
  </si>
  <si>
    <t>(1) Outstanding amount €204,196,000 after cash tender offer completed on 15.10.2025</t>
  </si>
  <si>
    <r>
      <t>Market capitalization</t>
    </r>
    <r>
      <rPr>
        <b/>
        <vertAlign val="superscript"/>
        <sz val="12"/>
        <color rgb="FF002F30"/>
        <rFont val="Piraeus Open Sans"/>
        <family val="3"/>
      </rPr>
      <t>(1)</t>
    </r>
    <r>
      <rPr>
        <b/>
        <sz val="12"/>
        <color rgb="FF002F30"/>
        <rFont val="Piraeus Open Sans"/>
        <family val="3"/>
      </rPr>
      <t xml:space="preserve">  (€mn)</t>
    </r>
  </si>
  <si>
    <r>
      <t>Distribution payout ratio</t>
    </r>
    <r>
      <rPr>
        <vertAlign val="superscript"/>
        <sz val="12"/>
        <color rgb="FF002F30"/>
        <rFont val="Piraeus Open Sans"/>
        <family val="3"/>
      </rPr>
      <t>(2)</t>
    </r>
    <r>
      <rPr>
        <sz val="12"/>
        <color rgb="FF002F30"/>
        <rFont val="Piraeus Open Sans"/>
        <family val="3"/>
      </rPr>
      <t xml:space="preserve"> (%)</t>
    </r>
  </si>
  <si>
    <r>
      <t>Dividend per share</t>
    </r>
    <r>
      <rPr>
        <vertAlign val="superscript"/>
        <sz val="12"/>
        <color rgb="FF002F30"/>
        <rFont val="Piraeus Open Sans"/>
        <family val="3"/>
      </rPr>
      <t>(3)</t>
    </r>
  </si>
  <si>
    <r>
      <t>Dividend yield</t>
    </r>
    <r>
      <rPr>
        <vertAlign val="superscript"/>
        <sz val="12"/>
        <color rgb="FF002F30"/>
        <rFont val="Piraeus Open Sans"/>
        <family val="3"/>
      </rPr>
      <t>(4)</t>
    </r>
    <r>
      <rPr>
        <sz val="12"/>
        <color rgb="FF002F30"/>
        <rFont val="Piraeus Open Sans"/>
        <family val="3"/>
      </rPr>
      <t xml:space="preserve"> (%)</t>
    </r>
  </si>
  <si>
    <t>(1) Market capitalization as of 31 December of the respective year</t>
  </si>
  <si>
    <t>(4) Dividend yield is calculated on the market capitalization of the Bank as at the 31 December of the previous year</t>
  </si>
  <si>
    <t># customers transacting online per week (th)</t>
  </si>
  <si>
    <t>30.09.2025</t>
  </si>
  <si>
    <t>30.06.2025</t>
  </si>
  <si>
    <t>Customers' data</t>
  </si>
  <si>
    <t>Dividends and share buy back</t>
  </si>
  <si>
    <t>Retail cross-sell ratio (avg)</t>
  </si>
  <si>
    <t># large corporate customers (th)</t>
  </si>
  <si>
    <t>4.6 / 4.7</t>
  </si>
  <si>
    <r>
      <t xml:space="preserve">     &gt;&gt; SME / Agri</t>
    </r>
    <r>
      <rPr>
        <vertAlign val="superscript"/>
        <sz val="12"/>
        <color rgb="FF002F30"/>
        <rFont val="Piraeus Open Sans"/>
        <family val="3"/>
      </rPr>
      <t>(1)</t>
    </r>
  </si>
  <si>
    <r>
      <t>2. Mortgage loans</t>
    </r>
    <r>
      <rPr>
        <vertAlign val="superscript"/>
        <sz val="12"/>
        <color rgb="FF002F30"/>
        <rFont val="Piraeus Open Sans"/>
        <family val="3"/>
      </rPr>
      <t>(1)</t>
    </r>
  </si>
  <si>
    <r>
      <t>Stage 3 &amp; POCI credit impaired</t>
    </r>
    <r>
      <rPr>
        <vertAlign val="superscript"/>
        <sz val="12"/>
        <color rgb="FF002F30"/>
        <rFont val="Piraeus Open Sans"/>
        <family val="3"/>
      </rPr>
      <t>(1)</t>
    </r>
  </si>
  <si>
    <r>
      <t>o/w mortgage</t>
    </r>
    <r>
      <rPr>
        <vertAlign val="superscript"/>
        <sz val="12"/>
        <color rgb="FF002F30"/>
        <rFont val="Piraeus Open Sans"/>
        <family val="3"/>
      </rPr>
      <t>(1)</t>
    </r>
  </si>
  <si>
    <t>Baa2 / - / BBB-</t>
  </si>
  <si>
    <t>Share buybacks  (€mn)*</t>
  </si>
  <si>
    <t>4.5 / 4.5</t>
  </si>
  <si>
    <t>Piraeus app ratings (google play store/apple store)</t>
  </si>
  <si>
    <t>S&amp;P Global</t>
  </si>
  <si>
    <t>(2) active digital banking customers are customers with at least 1 login in internet or mobile banking year-to-date</t>
  </si>
  <si>
    <t>(1) active retail customers are customers with at least 1 transaction during the last 6 months, or average outstanding deposit/investment/loan position of 1,000 during the last 12 months</t>
  </si>
  <si>
    <r>
      <t># active retail customers</t>
    </r>
    <r>
      <rPr>
        <vertAlign val="superscript"/>
        <sz val="12"/>
        <color rgb="FF002F30"/>
        <rFont val="Piraeus Open Sans"/>
        <family val="3"/>
      </rPr>
      <t>(1)</t>
    </r>
    <r>
      <rPr>
        <sz val="12"/>
        <color rgb="FF002F30"/>
        <rFont val="Piraeus Open Sans"/>
        <family val="3"/>
      </rPr>
      <t xml:space="preserve"> (mn)</t>
    </r>
  </si>
  <si>
    <r>
      <t># active digital customers</t>
    </r>
    <r>
      <rPr>
        <vertAlign val="superscript"/>
        <sz val="12"/>
        <color rgb="FF002F30"/>
        <rFont val="Piraeus Open Sans"/>
        <family val="3"/>
      </rPr>
      <t>(2)</t>
    </r>
    <r>
      <rPr>
        <sz val="12"/>
        <color rgb="FF002F30"/>
        <rFont val="Piraeus Open Sans"/>
        <family val="3"/>
      </rPr>
      <t xml:space="preserve"> (mn)</t>
    </r>
  </si>
  <si>
    <t># SME customers (th)</t>
  </si>
  <si>
    <t>(2) Distribution payout ratio calculated on the referenced year's net profit for the period</t>
  </si>
  <si>
    <t>(2) Inventory property is included in the "Other assets" line in IFRS accounts</t>
  </si>
  <si>
    <t>(3) Assets under management include MFMC assets, Private Banking assets, Brokerage and Custody</t>
  </si>
  <si>
    <r>
      <t>PROPERTY PORTFOLIO</t>
    </r>
    <r>
      <rPr>
        <b/>
        <u/>
        <vertAlign val="superscript"/>
        <sz val="12"/>
        <color rgb="FF002F30"/>
        <rFont val="Piraeus Open Sans"/>
        <family val="3"/>
      </rPr>
      <t>2</t>
    </r>
  </si>
  <si>
    <r>
      <t>4. Assets under management</t>
    </r>
    <r>
      <rPr>
        <b/>
        <vertAlign val="superscript"/>
        <sz val="12"/>
        <color rgb="FF002F30"/>
        <rFont val="Piraeus Open Sans"/>
        <family val="3"/>
      </rPr>
      <t>3</t>
    </r>
  </si>
  <si>
    <r>
      <t>Non-maturing deposits hedging cost</t>
    </r>
    <r>
      <rPr>
        <vertAlign val="superscript"/>
        <sz val="12"/>
        <color rgb="FF002F30"/>
        <rFont val="Piraeus Open Sans"/>
        <family val="3"/>
      </rPr>
      <t>(1)</t>
    </r>
  </si>
  <si>
    <t>(2) Balances and related income exclude senior tranches and CLOs</t>
  </si>
  <si>
    <t>(3) Interest earning assets are total assets excluding equity and mutual fund financial assets, participations, goodwill and intangibles, fixed assets, deferred tax assets and discontinued</t>
  </si>
  <si>
    <r>
      <t>NIM on average interest earning assets</t>
    </r>
    <r>
      <rPr>
        <b/>
        <vertAlign val="superscript"/>
        <sz val="14"/>
        <color rgb="FF002F30"/>
        <rFont val="Piraeus Open Sans"/>
        <family val="3"/>
      </rPr>
      <t>(3)</t>
    </r>
  </si>
  <si>
    <t>(2) Profit before tax illustrated on the table excludes cards merchant acquiring business consideration and non-recurring operating costs</t>
  </si>
  <si>
    <r>
      <t>Loan impairment</t>
    </r>
    <r>
      <rPr>
        <vertAlign val="superscript"/>
        <sz val="12"/>
        <color rgb="FF002F30"/>
        <rFont val="Piraeus Open Sans"/>
        <family val="3"/>
      </rPr>
      <t>(1)</t>
    </r>
  </si>
  <si>
    <r>
      <t>Profit before tax</t>
    </r>
    <r>
      <rPr>
        <b/>
        <vertAlign val="superscript"/>
        <sz val="12"/>
        <color rgb="FF002F30"/>
        <rFont val="Piraeus Open Sans"/>
        <family val="3"/>
      </rPr>
      <t>(2)</t>
    </r>
  </si>
  <si>
    <t>(1) Outstanding number of shares</t>
  </si>
  <si>
    <t>(2) From Q1.23 onwards, period-end outstanding number of shares adjusted for treasury shares</t>
  </si>
  <si>
    <t>(3) Weighted average number of shares in issue for the basic EPS calculation</t>
  </si>
  <si>
    <t>(4) Weighted average number of shares in issue for the diluted EPS calculation</t>
  </si>
  <si>
    <r>
      <t>Moody's</t>
    </r>
    <r>
      <rPr>
        <vertAlign val="superscript"/>
        <sz val="12"/>
        <color rgb="FF002F30"/>
        <rFont val="Piraeus Open Sans"/>
        <family val="3"/>
      </rPr>
      <t>(1)</t>
    </r>
  </si>
  <si>
    <r>
      <t>Fitch</t>
    </r>
    <r>
      <rPr>
        <vertAlign val="superscript"/>
        <sz val="12"/>
        <color rgb="FF002F30"/>
        <rFont val="Piraeus Open Sans"/>
        <family val="3"/>
      </rPr>
      <t>(2)</t>
    </r>
  </si>
  <si>
    <t>(1) SME/Agri segment in Jun.25, included c.0.15bn of agri bridge financing</t>
  </si>
  <si>
    <t>(3) Dividend per share is calculated on the adjusted for own shares number of outstanding shares as at the 31 December of the previous year</t>
  </si>
  <si>
    <r>
      <t>Pre provision income</t>
    </r>
    <r>
      <rPr>
        <b/>
        <sz val="12"/>
        <color rgb="FFF55240"/>
        <rFont val="Piraeus Open Sans"/>
        <family val="3"/>
      </rPr>
      <t xml:space="preserve"> </t>
    </r>
    <r>
      <rPr>
        <b/>
        <sz val="12"/>
        <color rgb="FF296ED4"/>
        <rFont val="Piraeus Open Sans"/>
        <family val="3"/>
      </rPr>
      <t>reported</t>
    </r>
  </si>
  <si>
    <r>
      <t>PE yield</t>
    </r>
    <r>
      <rPr>
        <b/>
        <vertAlign val="superscript"/>
        <sz val="14"/>
        <color rgb="FF002F30"/>
        <rFont val="Piraeus Open Sans"/>
        <family val="3"/>
      </rPr>
      <t>(2)</t>
    </r>
  </si>
  <si>
    <t>(1) Post model adjustments for proactive reprofiling of paying mortgage balances are included in Retail loan impairment</t>
  </si>
  <si>
    <t>NET CREDIT EXPANSION</t>
  </si>
  <si>
    <t>Snappi</t>
  </si>
  <si>
    <t>P&amp;L Snappi</t>
  </si>
  <si>
    <t>Q4 2025</t>
  </si>
  <si>
    <t>Impairment</t>
  </si>
  <si>
    <t>Profit before tax</t>
  </si>
  <si>
    <t>Net profit attributable to SHs</t>
  </si>
  <si>
    <t>Net profit</t>
  </si>
  <si>
    <t>Consumer</t>
  </si>
  <si>
    <t>SB</t>
  </si>
  <si>
    <t>SME  /Agri</t>
  </si>
  <si>
    <t>(1) Large corporate includes Structured finance, Real estate and PFM CLOs</t>
  </si>
  <si>
    <t>(2) SME/Agri includes Leasing &amp; Factoring</t>
  </si>
  <si>
    <t>NPE coverage</t>
  </si>
  <si>
    <t>12M 2024</t>
  </si>
  <si>
    <t>12M 2025</t>
  </si>
  <si>
    <t>P&amp;L SEGMENT VIEW 12M.25</t>
  </si>
  <si>
    <t>Q4.25</t>
  </si>
  <si>
    <t>31.12.2025</t>
  </si>
  <si>
    <t>7. Insurance assets</t>
  </si>
  <si>
    <t>8. Investments in associates</t>
  </si>
  <si>
    <t>9. Goodwill</t>
  </si>
  <si>
    <t>10. Other intagible assets</t>
  </si>
  <si>
    <t>11. Property, plant and equipment</t>
  </si>
  <si>
    <t>12. Deferred tax assets</t>
  </si>
  <si>
    <t>13. Other assets</t>
  </si>
  <si>
    <t>15. Total assets</t>
  </si>
  <si>
    <t>16. Due to credit institutions</t>
  </si>
  <si>
    <t>17. Liabilities at FV through PL</t>
  </si>
  <si>
    <t xml:space="preserve">19. Due to customers </t>
  </si>
  <si>
    <t>20. Debt securities and other borrowed funds</t>
  </si>
  <si>
    <t>21. Insurance liabilities</t>
  </si>
  <si>
    <t>22. Deferred tax liabilities</t>
  </si>
  <si>
    <t>23. Retirement benefit obligations</t>
  </si>
  <si>
    <t>24. Other liabilities</t>
  </si>
  <si>
    <t>25. Liabilities from discontinued operations &amp; held for sale</t>
  </si>
  <si>
    <t>26. Total liabilities</t>
  </si>
  <si>
    <t>27. Shareholders' funds</t>
  </si>
  <si>
    <t>28. Additional Tier I</t>
  </si>
  <si>
    <t>29. Non controlling Interests</t>
  </si>
  <si>
    <t>30. Total equity</t>
  </si>
  <si>
    <t>31. Tangible equity</t>
  </si>
  <si>
    <t>32. Total liabilities &amp; equity</t>
  </si>
  <si>
    <t>3. Total property portfolio</t>
  </si>
  <si>
    <t>1. Repossessed assets</t>
  </si>
  <si>
    <t>2. Non-repossessed assets</t>
  </si>
  <si>
    <t>DEPRECIATION COSTS</t>
  </si>
  <si>
    <t>Ethniki Insurance</t>
  </si>
  <si>
    <t>Portfolio perimeter 
as at Dec.25</t>
  </si>
  <si>
    <t>RWA release 
as at Dec.25</t>
  </si>
  <si>
    <t>Terminated</t>
  </si>
  <si>
    <t>Ermis VIII</t>
  </si>
  <si>
    <t>CRC &amp; AXA</t>
  </si>
  <si>
    <t>BBB- (Stable)</t>
  </si>
  <si>
    <t>(2) As at 27 January  2026 S&amp;P Global upgraded Piraeus Bank rating to BB+ (Positive)</t>
  </si>
  <si>
    <t xml:space="preserve">(1) Moody’s Rating refers to Senior Debt
</t>
  </si>
  <si>
    <t>Rental, non-banking and insurance activities income</t>
  </si>
  <si>
    <t>FY 2025 DATA OF PIRAEUS BANK</t>
  </si>
  <si>
    <t xml:space="preserve">Snappi </t>
  </si>
  <si>
    <t>Depreciation run-rate</t>
  </si>
  <si>
    <t xml:space="preserve">Total </t>
  </si>
  <si>
    <t>Grand Total</t>
  </si>
  <si>
    <t>VES</t>
  </si>
  <si>
    <t>Staff (recurring)</t>
  </si>
  <si>
    <t>Ethniki Insurance selected items</t>
  </si>
  <si>
    <t>ETHNIKI INSURANCE SELECTED ITEMS</t>
  </si>
  <si>
    <t>Gross Written Premium per line of business (€mn)</t>
  </si>
  <si>
    <t>Health</t>
  </si>
  <si>
    <t>Investments &amp; Savings</t>
  </si>
  <si>
    <t>Life Protection</t>
  </si>
  <si>
    <t>Gross Written Premium per channel (€mn)</t>
  </si>
  <si>
    <t xml:space="preserve">Selected Balance Sheet items (€mn) </t>
  </si>
  <si>
    <t>Insurance/reinsurance contract assets</t>
  </si>
  <si>
    <t>Investment assets related to insurance business</t>
  </si>
  <si>
    <t>Insurance/reinsurance contract liabilities</t>
  </si>
  <si>
    <t>Investment contract liabilities related to insurance</t>
  </si>
  <si>
    <t xml:space="preserve">Condensed Income Statement (€mn) </t>
  </si>
  <si>
    <t>Net Revenues</t>
  </si>
  <si>
    <t xml:space="preserve">Operating expenses </t>
  </si>
  <si>
    <t>Profit Before Tax</t>
  </si>
  <si>
    <t>Basic Solvency II Measures</t>
  </si>
  <si>
    <t>Solvency Ratio %</t>
  </si>
  <si>
    <t>Property &amp; Casualty</t>
  </si>
  <si>
    <t>* Corporate lending excludes seasonal agri-loan of €951mn for Dec.23, €919mn for Dec.24, €574mn for Mar.25 and €801mn for Dec.25</t>
  </si>
  <si>
    <t>B1 / B- / -</t>
  </si>
  <si>
    <t>€500mn 3.375% 
6NC5 SP Green Notes 
due 2031</t>
  </si>
  <si>
    <t>3.375% | Annual</t>
  </si>
  <si>
    <t>98 bps</t>
  </si>
  <si>
    <t>XS3244184159</t>
  </si>
  <si>
    <t>Ba1 / - / BB</t>
  </si>
  <si>
    <t>Ba1 / - / -</t>
  </si>
  <si>
    <t># snappi customers (th)</t>
  </si>
  <si>
    <t>(1) Q4.25 NPEs include €110mn paying mortgage exposures which have been classified as Stage 3/POCI (€19mn in Q3.25 &amp; €6mn in Q2.25) after Bank-initiated reprofiling</t>
  </si>
  <si>
    <t>(1) Non maturing deposit hedging cost corresponds to €10bn IRSs executed during late Dec.23 and Q1.24; €9bn as at Dec.25</t>
  </si>
  <si>
    <t>Ethniki Insurance acquisition expenses</t>
  </si>
  <si>
    <r>
      <t xml:space="preserve">Ethniki Insurance </t>
    </r>
    <r>
      <rPr>
        <vertAlign val="superscript"/>
        <sz val="12"/>
        <color rgb="FF002F30"/>
        <rFont val="Piraeus Open Sans"/>
        <family val="3"/>
      </rPr>
      <t>(1)</t>
    </r>
  </si>
  <si>
    <t>(2) Other includes net gain/(losses) from sale of property and equipment and intangible assets</t>
  </si>
  <si>
    <r>
      <t>Ethniki Insurance</t>
    </r>
    <r>
      <rPr>
        <vertAlign val="superscript"/>
        <sz val="12"/>
        <color rgb="FF002F30"/>
        <rFont val="Piraeus Open Sans"/>
        <family val="3"/>
      </rPr>
      <t>(1)</t>
    </r>
  </si>
  <si>
    <r>
      <t>Other (including subsidiaries)</t>
    </r>
    <r>
      <rPr>
        <vertAlign val="superscript"/>
        <sz val="12"/>
        <color rgb="FF002F30"/>
        <rFont val="Piraeus Open Sans"/>
        <family val="3"/>
      </rPr>
      <t>(2)</t>
    </r>
  </si>
  <si>
    <t>(1) Q4.25 Ethniki Insurance unallocated expenses refer to 1 month in 2025</t>
  </si>
  <si>
    <t>Large corporate</t>
  </si>
  <si>
    <t>(1) Q4.25 NPEs exclude €110mn paying mortgage exposures which have been classified as POCI credit impaired (€19mn in Q3.25 &amp; €6mn in Q2.25) after Bank-initiated reprofiling</t>
  </si>
  <si>
    <t>* On 14 November 2025, the SBB was concluded, resulting to the purchase of 14,414,195 own shares, at an average purchase price of € 6.925423 per share and a total consideration of approximately € 100 million. At the completion of the Reverse Merger, on 19 December 2025, the 14,414,195 own shares of Piraeus Financial Holdings that the Bank had acquired in the context of the implementation of the SBB were cancelled</t>
  </si>
  <si>
    <t>Piraeus Bank’s long-term ambition is to deliver total returns to shareholders either in the form of cash or share buybacks. Based on the Group's business plan approved in 19 February 2026, the payout aspiration is set at 55% distribution out of 2025 results:</t>
  </si>
  <si>
    <t>NII</t>
  </si>
  <si>
    <t>Fees</t>
  </si>
  <si>
    <t>Ethniki</t>
  </si>
  <si>
    <t>Other and Trading</t>
  </si>
  <si>
    <t>Revenues</t>
  </si>
  <si>
    <t>OpEX</t>
  </si>
  <si>
    <t>One-off OpEx</t>
  </si>
  <si>
    <t>Loan impairments</t>
  </si>
  <si>
    <t>Ethniki OpEx</t>
  </si>
  <si>
    <t>One-off CoR</t>
  </si>
  <si>
    <t>Other impairment
/ associates</t>
  </si>
  <si>
    <t>other impairments / associates one-off</t>
  </si>
  <si>
    <t xml:space="preserve">       of which one off fees</t>
  </si>
  <si>
    <t>CET 1 ratio</t>
  </si>
  <si>
    <t>Total capital ratio</t>
  </si>
  <si>
    <t>Charitable contribution for schools construction &amp; other CSR actions</t>
  </si>
  <si>
    <t>Net fee income &amp; rental/non bank income/insurance revenues</t>
  </si>
  <si>
    <t>Underlying cost of risk</t>
  </si>
  <si>
    <t xml:space="preserve">For any clarifications please refer to the Alternative Performance Measures </t>
  </si>
  <si>
    <t>5. Net loans (including seasonal agri loan)</t>
  </si>
  <si>
    <t>Ethniki Insurance expenses</t>
  </si>
  <si>
    <t>Ethniki Insurance revenues</t>
  </si>
  <si>
    <t xml:space="preserve">Insurance </t>
  </si>
  <si>
    <t>Revenues from services</t>
  </si>
  <si>
    <t>REVENUES FROM SERVICES</t>
  </si>
  <si>
    <t>** Q4.25 Ethniki Insurance revenues and expenses refer to 1 month in 2025</t>
  </si>
  <si>
    <t>Sales / classification to HFS</t>
  </si>
  <si>
    <t>Agents</t>
  </si>
  <si>
    <t>Brokers</t>
  </si>
  <si>
    <t>Direct</t>
  </si>
  <si>
    <t>Contribution to Group</t>
  </si>
  <si>
    <t>Proposal for 492mn cash dividend out of 2025 results (40cents per share), subject to ECB consent and AGM approval at 21 April 2026</t>
  </si>
  <si>
    <t># Ethniki Insurance customers (th)</t>
  </si>
  <si>
    <r>
      <t>PB shares minus treasury stock (end of period)</t>
    </r>
    <r>
      <rPr>
        <vertAlign val="superscript"/>
        <sz val="12"/>
        <color rgb="FF002F30"/>
        <rFont val="Piraeus Open Sans"/>
        <family val="3"/>
      </rPr>
      <t>(2)</t>
    </r>
  </si>
  <si>
    <r>
      <t>PB shares (end of period)</t>
    </r>
    <r>
      <rPr>
        <vertAlign val="superscript"/>
        <sz val="12"/>
        <color rgb="FF002F30"/>
        <rFont val="Piraeus Open Sans"/>
        <family val="3"/>
      </rPr>
      <t>(1)</t>
    </r>
  </si>
  <si>
    <r>
      <t>PB shares minus treasury stock (average of period)</t>
    </r>
    <r>
      <rPr>
        <vertAlign val="superscript"/>
        <sz val="12"/>
        <color rgb="FF002F30"/>
        <rFont val="Piraeus Open Sans"/>
        <family val="3"/>
      </rPr>
      <t>(3)</t>
    </r>
  </si>
  <si>
    <r>
      <t>Adjusted PB shares minus treasury stock (avg of period)</t>
    </r>
    <r>
      <rPr>
        <vertAlign val="superscript"/>
        <sz val="12"/>
        <color rgb="FF002F30"/>
        <rFont val="Piraeus Open Sans"/>
        <family val="3"/>
      </rPr>
      <t>(4)</t>
    </r>
  </si>
  <si>
    <t>Total consideration</t>
  </si>
  <si>
    <t>Goodwill</t>
  </si>
  <si>
    <t>Goodwill computation</t>
  </si>
  <si>
    <t>Less fair value of net assets</t>
  </si>
  <si>
    <t>Deposit cost net of NMDs</t>
  </si>
  <si>
    <t>DTC</t>
  </si>
  <si>
    <t>DTC/CET1</t>
  </si>
  <si>
    <t>o/w extraordinary</t>
  </si>
  <si>
    <t>Net fee income</t>
  </si>
  <si>
    <t>Net trading result</t>
  </si>
  <si>
    <r>
      <t xml:space="preserve">Tax </t>
    </r>
    <r>
      <rPr>
        <b/>
        <sz val="12"/>
        <color rgb="FF296ED4"/>
        <rFont val="Piraeus Open Sans"/>
        <family val="3"/>
      </rPr>
      <t>normalized</t>
    </r>
  </si>
  <si>
    <t xml:space="preserve">      of which NPEs</t>
  </si>
  <si>
    <r>
      <t xml:space="preserve">Net loans </t>
    </r>
    <r>
      <rPr>
        <sz val="12"/>
        <color rgb="FF002F30"/>
        <rFont val="Piraeus Open Sans"/>
        <family val="3"/>
      </rPr>
      <t>(excl. seasonal agri-loan)</t>
    </r>
  </si>
  <si>
    <t>Impairment on other assets</t>
  </si>
  <si>
    <t>Net trading result normalized</t>
  </si>
  <si>
    <t>Other operating result normalized</t>
  </si>
  <si>
    <t>Normalized operating profit</t>
  </si>
  <si>
    <t>Normalized Operating Profit</t>
  </si>
  <si>
    <t>Fee, trading and other operating result one offs</t>
  </si>
  <si>
    <t>Operating costs one offs</t>
  </si>
  <si>
    <t xml:space="preserve">Extraordinary loan impairments </t>
  </si>
  <si>
    <t>Extraordinary other impairments &amp; associates results</t>
  </si>
  <si>
    <t xml:space="preserve">Tax normalization adjustment </t>
  </si>
  <si>
    <t>14. Assets from discontinued operations &amp; held for sale</t>
  </si>
  <si>
    <t>Net fee and commission income</t>
  </si>
  <si>
    <t xml:space="preserve">of which one-off fees </t>
  </si>
  <si>
    <t>Administrative expenses</t>
  </si>
  <si>
    <t>o/w underlying and post model adjustments "PMA"</t>
  </si>
  <si>
    <t>Other impairment &amp; associates</t>
  </si>
  <si>
    <t>Normalized Income tax expense</t>
  </si>
  <si>
    <t>PL Snappi</t>
  </si>
  <si>
    <t>Net credit expansion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</si>
</sst>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7">
    <numFmt numFmtId="43" formatCode="_-* #,##0.00_-;\-* #,##0.00_-;_-* &quot;-&quot;??_-;_-@_-"/>
    <numFmt numFmtId="164" formatCode="_-* #,##0\ &quot;€&quot;_-;\-* #,##0\ &quot;€&quot;_-;_-* &quot;-&quot;\ &quot;€&quot;_-;_-@_-"/>
    <numFmt numFmtId="165" formatCode="_-* #,##0.00\ &quot;€&quot;_-;\-* #,##0.00\ &quot;€&quot;_-;_-* &quot;-&quot;??\ &quot;€&quot;_-;_-@_-"/>
    <numFmt numFmtId="166" formatCode="_-* #,##0\ _€_-;\-* #,##0\ _€_-;_-* &quot;-&quot;\ _€_-;_-@_-"/>
    <numFmt numFmtId="167" formatCode="_-* #,##0.00\ _€_-;\-* #,##0.00\ _€_-;_-* &quot;-&quot;??\ _€_-;_-@_-"/>
    <numFmt numFmtId="168" formatCode="_-* #,##0.00\ _Δ_ρ_χ_-;\-* #,##0.00\ _Δ_ρ_χ_-;_-* &quot;-&quot;??\ _Δ_ρ_χ_-;_-@_-"/>
    <numFmt numFmtId="169" formatCode="0.0%"/>
    <numFmt numFmtId="170" formatCode="0.0"/>
    <numFmt numFmtId="171" formatCode="#,##0.000"/>
    <numFmt numFmtId="172" formatCode="_-* #,##0.00\ [$€]_-;\-* #,##0.00\ [$€]_-;_-* &quot;-&quot;??\ [$€]_-;_-@_-"/>
    <numFmt numFmtId="173" formatCode="d/m/yyyy;@"/>
    <numFmt numFmtId="174" formatCode="#,##0.0;&quot;( &quot;#,##0.0&quot;)&quot;"/>
    <numFmt numFmtId="175" formatCode="d\ mmm\ yyyy"/>
    <numFmt numFmtId="176" formatCode="#0.00000000"/>
    <numFmt numFmtId="177" formatCode="#,###.00"/>
    <numFmt numFmtId="178" formatCode="#,###.000"/>
    <numFmt numFmtId="179" formatCode="0.000"/>
    <numFmt numFmtId="180" formatCode="#.000"/>
    <numFmt numFmtId="181" formatCode="#"/>
    <numFmt numFmtId="182" formatCode="#.00"/>
    <numFmt numFmtId="183" formatCode="#,###.0"/>
    <numFmt numFmtId="184" formatCode="#,###.0000"/>
    <numFmt numFmtId="185" formatCode="#,###.00000"/>
    <numFmt numFmtId="186" formatCode="#,###.000000"/>
    <numFmt numFmtId="187" formatCode="#,###.0000000"/>
    <numFmt numFmtId="188" formatCode="#,###.00000000"/>
    <numFmt numFmtId="189" formatCode="#,##0\ ;\-#,##0\ "/>
    <numFmt numFmtId="190" formatCode="#,#00"/>
    <numFmt numFmtId="191" formatCode="00\ 00\ 00\ 00\ 00"/>
    <numFmt numFmtId="192" formatCode="#,##0\ &quot;Δρχ&quot;;[Red]\-#,##0\ &quot;Δρχ&quot;"/>
    <numFmt numFmtId="193" formatCode="#,##0.00\ &quot;Δρχ&quot;;[Red]\-#,##0.00\ &quot;Δρχ&quot;"/>
    <numFmt numFmtId="194" formatCode="_-* #,##0_-;\-* #,##0_-;_-* &quot;-&quot;??_-;_-@_-"/>
    <numFmt numFmtId="195" formatCode="#,##0.00;&quot;( &quot;#,##0.00&quot;)&quot;"/>
    <numFmt numFmtId="196" formatCode="#,##0.0000;&quot;( &quot;#,##0.0000&quot;)&quot;"/>
    <numFmt numFmtId="197" formatCode="_-* #,##0.00\ [$€-1]_-;\-* #,##0.00\ [$€-1]_-;_-* &quot;-&quot;??\ [$€-1]_-"/>
    <numFmt numFmtId="198" formatCode="#,##0;&quot;( &quot;#,##0&quot;)&quot;"/>
    <numFmt numFmtId="199" formatCode="#,##0.0"/>
    <numFmt numFmtId="200" formatCode="0.0000000"/>
    <numFmt numFmtId="201" formatCode="_-* #,##0.0000_-;\-* #,##0.0000_-;_-* &quot;-&quot;??_-;_-@_-"/>
    <numFmt numFmtId="202" formatCode="#,##0_ ;\-#,##0\ "/>
    <numFmt numFmtId="203" formatCode="[$-F800]dddd\,\ mmmm\ dd\,\ yyyy"/>
    <numFmt numFmtId="204" formatCode="[$-409]d\-mmm\-yy;@"/>
    <numFmt numFmtId="205" formatCode="0.0000"/>
    <numFmt numFmtId="206" formatCode="#,##0.00000000"/>
    <numFmt numFmtId="207" formatCode="#,##0.00000"/>
    <numFmt numFmtId="208" formatCode="#,##0.000000"/>
    <numFmt numFmtId="209" formatCode="_-* #,##0.0_-;\-* #,##0.0_-;_-* &quot;-&quot;??_-;_-@_-"/>
  </numFmts>
  <fonts count="174" x14ac:knownFonts="1">
    <font>
      <sz val="10"/>
      <name val="Arial"/>
      <charset val="161"/>
    </font>
    <font>
      <sz val="11"/>
      <color theme="1"/>
      <name val="Calibri"/>
      <family val="2"/>
      <scheme val="minor"/>
    </font>
    <font>
      <sz val="11"/>
      <color theme="1"/>
      <name val="Calibri"/>
      <family val="2"/>
      <scheme val="minor"/>
    </font>
    <font>
      <sz val="10"/>
      <name val="Arial"/>
      <family val="2"/>
      <charset val="161"/>
    </font>
    <font>
      <sz val="10"/>
      <name val="Arial"/>
      <family val="2"/>
      <charset val="161"/>
    </font>
    <font>
      <b/>
      <sz val="18"/>
      <color indexed="56"/>
      <name val="Cambria"/>
      <family val="2"/>
      <charset val="161"/>
    </font>
    <font>
      <b/>
      <sz val="15"/>
      <color indexed="56"/>
      <name val="Calibri"/>
      <family val="2"/>
      <charset val="161"/>
    </font>
    <font>
      <b/>
      <sz val="13"/>
      <color indexed="56"/>
      <name val="Calibri"/>
      <family val="2"/>
      <charset val="161"/>
    </font>
    <font>
      <b/>
      <sz val="11"/>
      <color indexed="56"/>
      <name val="Calibri"/>
      <family val="2"/>
      <charset val="161"/>
    </font>
    <font>
      <sz val="11"/>
      <color indexed="17"/>
      <name val="Calibri"/>
      <family val="2"/>
      <charset val="161"/>
    </font>
    <font>
      <sz val="11"/>
      <color indexed="20"/>
      <name val="Calibri"/>
      <family val="2"/>
      <charset val="161"/>
    </font>
    <font>
      <sz val="11"/>
      <color indexed="60"/>
      <name val="Calibri"/>
      <family val="2"/>
      <charset val="161"/>
    </font>
    <font>
      <sz val="11"/>
      <color indexed="62"/>
      <name val="Calibri"/>
      <family val="2"/>
      <charset val="161"/>
    </font>
    <font>
      <b/>
      <sz val="11"/>
      <color indexed="63"/>
      <name val="Calibri"/>
      <family val="2"/>
      <charset val="161"/>
    </font>
    <font>
      <b/>
      <sz val="11"/>
      <color indexed="52"/>
      <name val="Calibri"/>
      <family val="2"/>
      <charset val="161"/>
    </font>
    <font>
      <sz val="11"/>
      <color indexed="52"/>
      <name val="Calibri"/>
      <family val="2"/>
      <charset val="161"/>
    </font>
    <font>
      <b/>
      <sz val="11"/>
      <color indexed="9"/>
      <name val="Calibri"/>
      <family val="2"/>
      <charset val="161"/>
    </font>
    <font>
      <sz val="11"/>
      <color indexed="10"/>
      <name val="Calibri"/>
      <family val="2"/>
      <charset val="161"/>
    </font>
    <font>
      <i/>
      <sz val="11"/>
      <color indexed="23"/>
      <name val="Calibri"/>
      <family val="2"/>
      <charset val="161"/>
    </font>
    <font>
      <b/>
      <sz val="11"/>
      <color indexed="8"/>
      <name val="Calibri"/>
      <family val="2"/>
      <charset val="161"/>
    </font>
    <font>
      <sz val="11"/>
      <color indexed="9"/>
      <name val="Calibri"/>
      <family val="2"/>
      <charset val="161"/>
    </font>
    <font>
      <sz val="11"/>
      <color indexed="8"/>
      <name val="Calibri"/>
      <family val="2"/>
      <charset val="161"/>
    </font>
    <font>
      <sz val="10"/>
      <name val="Arial Greek"/>
      <charset val="161"/>
    </font>
    <font>
      <sz val="10"/>
      <name val="Arial"/>
      <family val="2"/>
      <charset val="161"/>
    </font>
    <font>
      <sz val="8"/>
      <name val="Arial"/>
      <family val="2"/>
      <charset val="161"/>
    </font>
    <font>
      <sz val="10"/>
      <color indexed="8"/>
      <name val="Arial"/>
      <family val="2"/>
      <charset val="161"/>
    </font>
    <font>
      <sz val="10"/>
      <color indexed="47"/>
      <name val="Arial"/>
      <family val="2"/>
    </font>
    <font>
      <sz val="14"/>
      <name val="Arial"/>
      <family val="2"/>
    </font>
    <font>
      <b/>
      <sz val="14"/>
      <color indexed="9"/>
      <name val="Arial"/>
      <family val="2"/>
    </font>
    <font>
      <b/>
      <sz val="10"/>
      <color indexed="9"/>
      <name val="Arial"/>
      <family val="2"/>
    </font>
    <font>
      <sz val="10"/>
      <name val="Arial"/>
      <family val="2"/>
    </font>
    <font>
      <b/>
      <sz val="10"/>
      <name val="Arial"/>
      <family val="2"/>
    </font>
    <font>
      <u/>
      <sz val="12"/>
      <color indexed="18"/>
      <name val="Arial"/>
      <family val="2"/>
      <charset val="161"/>
    </font>
    <font>
      <sz val="10"/>
      <name val="Arial"/>
      <family val="2"/>
      <charset val="204"/>
    </font>
    <font>
      <sz val="1"/>
      <color indexed="8"/>
      <name val="Courier"/>
      <family val="1"/>
      <charset val="161"/>
    </font>
    <font>
      <sz val="10"/>
      <color indexed="8"/>
      <name val="Arial"/>
      <family val="2"/>
      <charset val="161"/>
    </font>
    <font>
      <b/>
      <sz val="1"/>
      <color indexed="8"/>
      <name val="Courier"/>
      <family val="1"/>
      <charset val="161"/>
    </font>
    <font>
      <sz val="10"/>
      <name val="MS Sans Serif"/>
      <family val="2"/>
      <charset val="161"/>
    </font>
    <font>
      <sz val="10"/>
      <color indexed="8"/>
      <name val="Arial"/>
      <family val="2"/>
      <charset val="204"/>
    </font>
    <font>
      <sz val="11"/>
      <color indexed="8"/>
      <name val="Calibri"/>
      <family val="2"/>
      <charset val="204"/>
    </font>
    <font>
      <sz val="10"/>
      <name val="Courier"/>
      <family val="1"/>
      <charset val="161"/>
    </font>
    <font>
      <sz val="10"/>
      <name val="MS Sans Serif"/>
      <family val="2"/>
      <charset val="161"/>
    </font>
    <font>
      <sz val="8"/>
      <color indexed="8"/>
      <name val="Trebuchet MS"/>
      <family val="2"/>
    </font>
    <font>
      <b/>
      <sz val="9"/>
      <color indexed="9"/>
      <name val="Trebuchet MS"/>
      <family val="2"/>
    </font>
    <font>
      <b/>
      <sz val="8"/>
      <color indexed="62"/>
      <name val="Trebuchet MS"/>
      <family val="2"/>
    </font>
    <font>
      <sz val="12"/>
      <color indexed="18"/>
      <name val="Calibri"/>
      <family val="2"/>
      <charset val="161"/>
      <scheme val="minor"/>
    </font>
    <font>
      <b/>
      <sz val="12"/>
      <color indexed="18"/>
      <name val="Calibri"/>
      <family val="2"/>
      <charset val="161"/>
      <scheme val="minor"/>
    </font>
    <font>
      <sz val="10"/>
      <name val="Calibri"/>
      <family val="2"/>
      <charset val="161"/>
      <scheme val="minor"/>
    </font>
    <font>
      <sz val="12"/>
      <color rgb="FF000080"/>
      <name val="Calibri"/>
      <family val="2"/>
      <charset val="161"/>
      <scheme val="minor"/>
    </font>
    <font>
      <b/>
      <sz val="12"/>
      <color rgb="FF000080"/>
      <name val="Calibri"/>
      <family val="2"/>
      <charset val="161"/>
      <scheme val="minor"/>
    </font>
    <font>
      <sz val="12"/>
      <name val="Calibri"/>
      <family val="2"/>
      <charset val="161"/>
      <scheme val="minor"/>
    </font>
    <font>
      <b/>
      <sz val="11"/>
      <color indexed="18"/>
      <name val="Calibri"/>
      <family val="2"/>
      <charset val="161"/>
      <scheme val="minor"/>
    </font>
    <font>
      <u/>
      <sz val="12"/>
      <color indexed="18"/>
      <name val="Calibri"/>
      <family val="2"/>
      <charset val="161"/>
      <scheme val="minor"/>
    </font>
    <font>
      <b/>
      <sz val="20"/>
      <color indexed="18"/>
      <name val="Calibri"/>
      <family val="2"/>
      <charset val="161"/>
      <scheme val="minor"/>
    </font>
    <font>
      <b/>
      <sz val="10"/>
      <name val="Calibri"/>
      <family val="2"/>
      <charset val="161"/>
      <scheme val="minor"/>
    </font>
    <font>
      <sz val="10"/>
      <color indexed="18"/>
      <name val="Calibri"/>
      <family val="2"/>
      <charset val="161"/>
      <scheme val="minor"/>
    </font>
    <font>
      <sz val="8"/>
      <name val="Calibri"/>
      <family val="2"/>
      <charset val="161"/>
      <scheme val="minor"/>
    </font>
    <font>
      <b/>
      <sz val="12"/>
      <color indexed="10"/>
      <name val="Calibri"/>
      <family val="2"/>
      <charset val="161"/>
      <scheme val="minor"/>
    </font>
    <font>
      <i/>
      <sz val="10"/>
      <color indexed="18"/>
      <name val="Calibri"/>
      <family val="2"/>
      <charset val="161"/>
      <scheme val="minor"/>
    </font>
    <font>
      <sz val="11"/>
      <color theme="1"/>
      <name val="Calibri"/>
      <family val="2"/>
      <charset val="161"/>
      <scheme val="minor"/>
    </font>
    <font>
      <sz val="10"/>
      <color rgb="FF000080"/>
      <name val="Calibri"/>
      <family val="2"/>
      <charset val="161"/>
      <scheme val="minor"/>
    </font>
    <font>
      <sz val="10"/>
      <color theme="5"/>
      <name val="Calibri"/>
      <family val="2"/>
      <charset val="161"/>
      <scheme val="minor"/>
    </font>
    <font>
      <b/>
      <sz val="12"/>
      <color rgb="FF0070C0"/>
      <name val="Calibri"/>
      <family val="2"/>
      <charset val="161"/>
      <scheme val="minor"/>
    </font>
    <font>
      <b/>
      <sz val="11"/>
      <color rgb="FF0070C0"/>
      <name val="Calibri"/>
      <family val="2"/>
      <charset val="161"/>
      <scheme val="minor"/>
    </font>
    <font>
      <sz val="11"/>
      <name val="Calibri"/>
      <family val="2"/>
      <charset val="161"/>
      <scheme val="minor"/>
    </font>
    <font>
      <b/>
      <sz val="11"/>
      <name val="Calibri"/>
      <family val="2"/>
      <charset val="161"/>
      <scheme val="minor"/>
    </font>
    <font>
      <sz val="10"/>
      <name val="Arial"/>
      <family val="2"/>
      <charset val="161"/>
    </font>
    <font>
      <i/>
      <sz val="10"/>
      <color rgb="FFFF0000"/>
      <name val="Calibri"/>
      <family val="2"/>
      <charset val="161"/>
      <scheme val="minor"/>
    </font>
    <font>
      <sz val="10"/>
      <color theme="1"/>
      <name val="Arial"/>
      <family val="2"/>
    </font>
    <font>
      <sz val="12"/>
      <name val="Arial"/>
      <family val="2"/>
    </font>
    <font>
      <sz val="10"/>
      <name val="Courier"/>
      <family val="3"/>
    </font>
    <font>
      <sz val="11"/>
      <color indexed="8"/>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sz val="11"/>
      <color indexed="20"/>
      <name val="Calibri"/>
      <family val="2"/>
    </font>
    <font>
      <sz val="12"/>
      <name val="Times New Roman"/>
      <family val="1"/>
    </font>
    <font>
      <b/>
      <sz val="11"/>
      <color indexed="63"/>
      <name val="Calibri"/>
      <family val="2"/>
    </font>
    <font>
      <sz val="11"/>
      <color indexed="10"/>
      <name val="Calibri"/>
      <family val="2"/>
    </font>
    <font>
      <i/>
      <sz val="11"/>
      <color indexed="23"/>
      <name val="Calibri"/>
      <family val="2"/>
    </font>
    <font>
      <b/>
      <sz val="18"/>
      <color indexed="38"/>
      <name val="Cambria"/>
      <family val="2"/>
    </font>
    <font>
      <b/>
      <sz val="15"/>
      <color indexed="38"/>
      <name val="Calibri"/>
      <family val="2"/>
    </font>
    <font>
      <b/>
      <sz val="13"/>
      <color indexed="38"/>
      <name val="Calibri"/>
      <family val="2"/>
    </font>
    <font>
      <b/>
      <sz val="11"/>
      <color indexed="38"/>
      <name val="Calibri"/>
      <family val="2"/>
    </font>
    <font>
      <u/>
      <sz val="10"/>
      <color theme="10"/>
      <name val="Arial"/>
      <family val="2"/>
    </font>
    <font>
      <sz val="10"/>
      <color indexed="8"/>
      <name val="Arial"/>
      <family val="2"/>
    </font>
    <font>
      <sz val="10"/>
      <color indexed="60"/>
      <name val="Arial"/>
      <family val="2"/>
    </font>
    <font>
      <sz val="10"/>
      <color indexed="17"/>
      <name val="Arial"/>
      <family val="2"/>
    </font>
    <font>
      <b/>
      <sz val="10"/>
      <color indexed="52"/>
      <name val="Arial"/>
      <family val="2"/>
    </font>
    <font>
      <b/>
      <sz val="10"/>
      <color indexed="60"/>
      <name val="Arial"/>
      <family val="2"/>
    </font>
    <font>
      <sz val="10"/>
      <color indexed="52"/>
      <name val="Arial"/>
      <family val="2"/>
    </font>
    <font>
      <b/>
      <sz val="11"/>
      <color indexed="63"/>
      <name val="Arial"/>
      <family val="2"/>
    </font>
    <font>
      <sz val="10"/>
      <color indexed="54"/>
      <name val="Arial"/>
      <family val="2"/>
    </font>
    <font>
      <sz val="10"/>
      <color indexed="20"/>
      <name val="Arial"/>
      <family val="2"/>
    </font>
    <font>
      <sz val="10"/>
      <color indexed="19"/>
      <name val="Arial"/>
      <family val="2"/>
    </font>
    <font>
      <b/>
      <sz val="10"/>
      <color indexed="38"/>
      <name val="Arial"/>
      <family val="2"/>
    </font>
    <font>
      <sz val="10"/>
      <color indexed="10"/>
      <name val="Arial"/>
      <family val="2"/>
    </font>
    <font>
      <i/>
      <sz val="10"/>
      <color indexed="23"/>
      <name val="Arial"/>
      <family val="2"/>
    </font>
    <font>
      <b/>
      <sz val="15"/>
      <color indexed="63"/>
      <name val="Arial"/>
      <family val="2"/>
    </font>
    <font>
      <b/>
      <sz val="13"/>
      <color indexed="63"/>
      <name val="Arial"/>
      <family val="2"/>
    </font>
    <font>
      <b/>
      <sz val="18"/>
      <color indexed="63"/>
      <name val="Cambria"/>
      <family val="2"/>
    </font>
    <font>
      <b/>
      <sz val="10"/>
      <color indexed="8"/>
      <name val="Arial"/>
      <family val="2"/>
    </font>
    <font>
      <sz val="11"/>
      <color theme="1"/>
      <name val="Calibri"/>
      <family val="2"/>
    </font>
    <font>
      <b/>
      <sz val="12"/>
      <color theme="0"/>
      <name val="Calibri"/>
      <family val="2"/>
      <charset val="161"/>
      <scheme val="minor"/>
    </font>
    <font>
      <sz val="14"/>
      <name val="Calibri"/>
      <family val="2"/>
      <charset val="161"/>
      <scheme val="minor"/>
    </font>
    <font>
      <sz val="18"/>
      <color indexed="18"/>
      <name val="Calibri"/>
      <family val="2"/>
      <charset val="161"/>
      <scheme val="minor"/>
    </font>
    <font>
      <sz val="18"/>
      <name val="Calibri"/>
      <family val="2"/>
      <charset val="161"/>
      <scheme val="minor"/>
    </font>
    <font>
      <b/>
      <sz val="18"/>
      <color indexed="18"/>
      <name val="Calibri"/>
      <family val="2"/>
      <charset val="161"/>
      <scheme val="minor"/>
    </font>
    <font>
      <b/>
      <sz val="18"/>
      <name val="Calibri"/>
      <family val="2"/>
      <charset val="161"/>
      <scheme val="minor"/>
    </font>
    <font>
      <sz val="10"/>
      <color theme="1"/>
      <name val="Calibri"/>
      <family val="2"/>
      <charset val="161"/>
      <scheme val="minor"/>
    </font>
    <font>
      <sz val="8"/>
      <name val="Arial"/>
      <family val="2"/>
      <charset val="161"/>
    </font>
    <font>
      <b/>
      <sz val="16"/>
      <color rgb="FF002F30"/>
      <name val="Piraeus Open Sans"/>
      <family val="3"/>
    </font>
    <font>
      <sz val="10"/>
      <color rgb="FF002F30"/>
      <name val="Piraeus Open Sans"/>
      <family val="3"/>
    </font>
    <font>
      <sz val="12"/>
      <color rgb="FF002F30"/>
      <name val="Piraeus Open Sans"/>
      <family val="3"/>
    </font>
    <font>
      <sz val="12"/>
      <name val="Piraeus Open Sans"/>
      <family val="3"/>
    </font>
    <font>
      <u/>
      <sz val="12"/>
      <color rgb="FF002F30"/>
      <name val="Piraeus Open Sans"/>
      <family val="3"/>
    </font>
    <font>
      <sz val="10"/>
      <color indexed="23"/>
      <name val="Piraeus Open Sans"/>
      <family val="3"/>
    </font>
    <font>
      <u/>
      <sz val="12"/>
      <color indexed="18"/>
      <name val="Piraeus Open Sans"/>
      <family val="3"/>
    </font>
    <font>
      <sz val="10"/>
      <name val="Piraeus Open Sans"/>
      <family val="3"/>
    </font>
    <font>
      <sz val="12"/>
      <color indexed="18"/>
      <name val="Piraeus Open Sans"/>
      <family val="3"/>
    </font>
    <font>
      <b/>
      <sz val="20"/>
      <color indexed="18"/>
      <name val="Piraeus Open Sans"/>
      <family val="3"/>
    </font>
    <font>
      <sz val="8"/>
      <name val="Piraeus Open Sans"/>
      <family val="3"/>
    </font>
    <font>
      <b/>
      <sz val="12"/>
      <color rgb="FF0070C0"/>
      <name val="Piraeus Open Sans"/>
      <family val="3"/>
    </font>
    <font>
      <b/>
      <sz val="12"/>
      <color rgb="FF002F30"/>
      <name val="Piraeus Open Sans"/>
      <family val="3"/>
    </font>
    <font>
      <b/>
      <sz val="12"/>
      <color indexed="18"/>
      <name val="Piraeus Open Sans"/>
      <family val="3"/>
    </font>
    <font>
      <vertAlign val="superscript"/>
      <sz val="12"/>
      <color rgb="FF002F30"/>
      <name val="Piraeus Open Sans"/>
      <family val="3"/>
    </font>
    <font>
      <sz val="10"/>
      <color rgb="FF000080"/>
      <name val="Piraeus Open Sans"/>
      <family val="3"/>
    </font>
    <font>
      <b/>
      <sz val="20"/>
      <color rgb="FF002F30"/>
      <name val="Piraeus Open Sans"/>
      <family val="3"/>
    </font>
    <font>
      <sz val="9"/>
      <color theme="3"/>
      <name val="Piraeus Open Sans"/>
      <family val="3"/>
    </font>
    <font>
      <sz val="8"/>
      <color theme="0" tint="-0.34998626667073579"/>
      <name val="Piraeus Open Sans"/>
      <family val="3"/>
    </font>
    <font>
      <b/>
      <u/>
      <sz val="12"/>
      <color rgb="FF002F30"/>
      <name val="Piraeus Open Sans"/>
      <family val="3"/>
    </font>
    <font>
      <i/>
      <sz val="12"/>
      <color rgb="FF002F30"/>
      <name val="Piraeus Open Sans"/>
      <family val="3"/>
    </font>
    <font>
      <b/>
      <sz val="12"/>
      <color rgb="FFA8A30A"/>
      <name val="Piraeus Open Sans"/>
      <family val="3"/>
    </font>
    <font>
      <b/>
      <sz val="12"/>
      <color rgb="FFF55240"/>
      <name val="Piraeus Open Sans"/>
      <family val="3"/>
    </font>
    <font>
      <b/>
      <sz val="12"/>
      <color rgb="FF3885FF"/>
      <name val="Piraeus Open Sans"/>
      <family val="3"/>
    </font>
    <font>
      <b/>
      <sz val="12"/>
      <color rgb="FF296ED4"/>
      <name val="Piraeus Open Sans"/>
      <family val="3"/>
    </font>
    <font>
      <b/>
      <vertAlign val="superscript"/>
      <sz val="12"/>
      <color rgb="FF002F30"/>
      <name val="Piraeus Open Sans"/>
      <family val="3"/>
    </font>
    <font>
      <b/>
      <sz val="20"/>
      <color rgb="FFC9C2AE"/>
      <name val="Piraeus Open Sans"/>
      <family val="3"/>
    </font>
    <font>
      <b/>
      <sz val="14"/>
      <color rgb="FF002F30"/>
      <name val="Piraeus Open Sans"/>
      <family val="3"/>
    </font>
    <font>
      <b/>
      <sz val="12"/>
      <color rgb="FFFFF5BF"/>
      <name val="Piraeus Open Sans"/>
      <family val="3"/>
    </font>
    <font>
      <b/>
      <sz val="13"/>
      <color rgb="FF002F30"/>
      <name val="Piraeus Open Sans"/>
      <family val="3"/>
    </font>
    <font>
      <i/>
      <sz val="12"/>
      <color theme="0" tint="-0.499984740745262"/>
      <name val="Piraeus Open Sans"/>
      <family val="3"/>
    </font>
    <font>
      <b/>
      <sz val="12"/>
      <color theme="0" tint="-0.499984740745262"/>
      <name val="Piraeus Open Sans"/>
      <family val="3"/>
    </font>
    <font>
      <sz val="10"/>
      <color rgb="FFC9C2AE"/>
      <name val="Piraeus Open Sans"/>
      <family val="3"/>
    </font>
    <font>
      <b/>
      <i/>
      <sz val="12"/>
      <color rgb="FF002F30"/>
      <name val="Piraeus Open Sans"/>
      <family val="3"/>
    </font>
    <font>
      <sz val="12"/>
      <color theme="0" tint="-0.499984740745262"/>
      <name val="Piraeus Open Sans"/>
      <family val="3"/>
    </font>
    <font>
      <b/>
      <i/>
      <sz val="14"/>
      <color rgb="FF002F30"/>
      <name val="Piraeus Open Sans"/>
      <family val="3"/>
    </font>
    <font>
      <b/>
      <vertAlign val="superscript"/>
      <sz val="14"/>
      <color rgb="FF002F30"/>
      <name val="Piraeus Open Sans"/>
      <family val="3"/>
    </font>
    <font>
      <sz val="8"/>
      <color rgb="FF002F30"/>
      <name val="Piraeus Open Sans"/>
      <family val="3"/>
    </font>
    <font>
      <sz val="10"/>
      <color indexed="18"/>
      <name val="Piraeus Open Sans"/>
      <family val="3"/>
    </font>
    <font>
      <sz val="9"/>
      <color rgb="FF000080"/>
      <name val="Piraeus Open Sans"/>
      <family val="3"/>
    </font>
    <font>
      <sz val="9"/>
      <color rgb="FF002F30"/>
      <name val="Piraeus Open Sans"/>
      <family val="3"/>
    </font>
    <font>
      <sz val="8"/>
      <color rgb="FF002F30"/>
      <name val="Calibri"/>
      <family val="2"/>
      <charset val="161"/>
      <scheme val="minor"/>
    </font>
    <font>
      <sz val="11"/>
      <color rgb="FF002F30"/>
      <name val="Piraeus Open Sans"/>
      <family val="3"/>
    </font>
    <font>
      <sz val="11"/>
      <name val="Piraeus Open Sans"/>
      <family val="3"/>
    </font>
    <font>
      <u/>
      <sz val="11"/>
      <color indexed="18"/>
      <name val="Piraeus Open Sans"/>
      <family val="3"/>
    </font>
    <font>
      <b/>
      <sz val="11"/>
      <color indexed="18"/>
      <name val="Piraeus Open Sans"/>
      <family val="3"/>
    </font>
    <font>
      <b/>
      <sz val="11"/>
      <color rgb="FF002F30"/>
      <name val="Piraeus Open Sans"/>
      <family val="3"/>
    </font>
    <font>
      <sz val="11"/>
      <color rgb="FF002F30"/>
      <name val="Calibri"/>
      <family val="2"/>
      <charset val="161"/>
      <scheme val="minor"/>
    </font>
    <font>
      <b/>
      <sz val="12"/>
      <color rgb="FFFF0000"/>
      <name val="Piraeus Open Sans"/>
      <family val="3"/>
    </font>
    <font>
      <sz val="14"/>
      <color rgb="FF002F30"/>
      <name val="Piraeus Open Sans"/>
      <family val="3"/>
    </font>
    <font>
      <b/>
      <u/>
      <vertAlign val="superscript"/>
      <sz val="12"/>
      <color rgb="FF002F30"/>
      <name val="Piraeus Open Sans"/>
      <family val="3"/>
    </font>
    <font>
      <sz val="10"/>
      <color rgb="FFFF0000"/>
      <name val="Piraeus Open Sans"/>
      <family val="3"/>
    </font>
    <font>
      <b/>
      <sz val="12"/>
      <name val="Calibri"/>
      <family val="2"/>
      <charset val="161"/>
      <scheme val="minor"/>
    </font>
    <font>
      <b/>
      <vertAlign val="superscript"/>
      <sz val="11"/>
      <color rgb="FF002F30"/>
      <name val="Piraeus Open Sans"/>
      <family val="3"/>
    </font>
    <font>
      <b/>
      <sz val="11"/>
      <color rgb="FF000000"/>
      <name val="Calibri"/>
      <family val="2"/>
      <charset val="161"/>
    </font>
    <font>
      <sz val="10"/>
      <color rgb="FF002F30"/>
      <name val="Piraeus Open Sans"/>
      <family val="3"/>
    </font>
    <font>
      <b/>
      <sz val="12"/>
      <color rgb="FFFF0000"/>
      <name val="Calibri"/>
      <family val="2"/>
      <charset val="161"/>
      <scheme val="minor"/>
    </font>
    <font>
      <b/>
      <sz val="10"/>
      <color rgb="FF002F30"/>
      <name val="Piraeus Open Sans"/>
      <family val="3"/>
    </font>
    <font>
      <b/>
      <sz val="12"/>
      <color rgb="FF002F30"/>
      <name val="Piraeus Open Sans"/>
    </font>
    <font>
      <sz val="11"/>
      <color rgb="FF002F30"/>
      <name val="Piraeus Open Sans"/>
    </font>
    <font>
      <b/>
      <sz val="14"/>
      <color rgb="FF002F30"/>
      <name val="Piraeus Open Sans"/>
    </font>
  </fonts>
  <fills count="5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9"/>
      </patternFill>
    </fill>
    <fill>
      <patternFill patternType="solid">
        <fgColor indexed="43"/>
      </patternFill>
    </fill>
    <fill>
      <patternFill patternType="solid">
        <fgColor indexed="26"/>
      </patternFill>
    </fill>
    <fill>
      <patternFill patternType="solid">
        <fgColor indexed="47"/>
        <bgColor indexed="64"/>
      </patternFill>
    </fill>
    <fill>
      <patternFill patternType="solid">
        <fgColor indexed="22"/>
        <bgColor indexed="64"/>
      </patternFill>
    </fill>
    <fill>
      <patternFill patternType="solid">
        <fgColor indexed="48"/>
        <bgColor indexed="64"/>
      </patternFill>
    </fill>
    <fill>
      <patternFill patternType="solid">
        <fgColor indexed="29"/>
        <bgColor indexed="64"/>
      </patternFill>
    </fill>
    <fill>
      <patternFill patternType="solid">
        <fgColor indexed="32"/>
        <bgColor indexed="64"/>
      </patternFill>
    </fill>
    <fill>
      <patternFill patternType="solid">
        <fgColor indexed="9"/>
        <bgColor indexed="64"/>
      </patternFill>
    </fill>
    <fill>
      <patternFill patternType="solid">
        <fgColor indexed="26"/>
        <bgColor indexed="64"/>
      </patternFill>
    </fill>
    <fill>
      <patternFill patternType="solid">
        <fgColor indexed="44"/>
        <bgColor indexed="64"/>
      </patternFill>
    </fill>
    <fill>
      <patternFill patternType="lightGray">
        <bgColor indexed="44"/>
      </patternFill>
    </fill>
    <fill>
      <patternFill patternType="solid">
        <fgColor theme="0"/>
        <bgColor indexed="64"/>
      </patternFill>
    </fill>
    <fill>
      <patternFill patternType="solid">
        <fgColor rgb="FFFFFFCC"/>
        <bgColor indexed="64"/>
      </patternFill>
    </fill>
    <fill>
      <patternFill patternType="solid">
        <fgColor theme="0"/>
        <bgColor rgb="FF000000"/>
      </patternFill>
    </fill>
    <fill>
      <patternFill patternType="mediumGray">
        <fgColor indexed="9"/>
        <bgColor theme="0"/>
      </patternFill>
    </fill>
    <fill>
      <patternFill patternType="solid">
        <fgColor indexed="34"/>
      </patternFill>
    </fill>
    <fill>
      <patternFill patternType="solid">
        <fgColor indexed="35"/>
      </patternFill>
    </fill>
    <fill>
      <patternFill patternType="solid">
        <fgColor indexed="25"/>
      </patternFill>
    </fill>
    <fill>
      <patternFill patternType="solid">
        <fgColor indexed="54"/>
      </patternFill>
    </fill>
    <fill>
      <patternFill patternType="solid">
        <fgColor indexed="32"/>
      </patternFill>
    </fill>
    <fill>
      <patternFill patternType="solid">
        <fgColor indexed="24"/>
      </patternFill>
    </fill>
    <fill>
      <patternFill patternType="solid">
        <fgColor indexed="56"/>
      </patternFill>
    </fill>
    <fill>
      <patternFill patternType="solid">
        <fgColor theme="8" tint="0.59999389629810485"/>
        <bgColor indexed="64"/>
      </patternFill>
    </fill>
    <fill>
      <patternFill patternType="solid">
        <fgColor rgb="FF002F30"/>
        <bgColor indexed="64"/>
      </patternFill>
    </fill>
    <fill>
      <patternFill patternType="solid">
        <fgColor rgb="FFC9C2AE"/>
        <bgColor indexed="64"/>
      </patternFill>
    </fill>
    <fill>
      <patternFill patternType="solid">
        <fgColor rgb="FFFFF5BF"/>
        <bgColor indexed="64"/>
      </patternFill>
    </fill>
    <fill>
      <patternFill patternType="solid">
        <fgColor rgb="FF809797"/>
        <bgColor indexed="64"/>
      </patternFill>
    </fill>
    <fill>
      <patternFill patternType="solid">
        <fgColor rgb="FFCAC3AF"/>
        <bgColor indexed="64"/>
      </patternFill>
    </fill>
    <fill>
      <patternFill patternType="solid">
        <fgColor rgb="FFE4E1D7"/>
        <bgColor indexed="64"/>
      </patternFill>
    </fill>
    <fill>
      <patternFill patternType="mediumGray">
        <fgColor indexed="9"/>
        <bgColor rgb="FF809797"/>
      </patternFill>
    </fill>
    <fill>
      <patternFill patternType="mediumGray">
        <fgColor indexed="9"/>
        <bgColor rgb="FFCAC3AF"/>
      </patternFill>
    </fill>
    <fill>
      <patternFill patternType="solid">
        <fgColor rgb="FFFFF5BF"/>
        <bgColor rgb="FF000000"/>
      </patternFill>
    </fill>
    <fill>
      <patternFill patternType="solid">
        <fgColor rgb="FFE4E1D7"/>
        <bgColor rgb="FF000000"/>
      </patternFill>
    </fill>
    <fill>
      <patternFill patternType="mediumGray">
        <fgColor indexed="9"/>
        <bgColor rgb="FFFFF5BF"/>
      </patternFill>
    </fill>
    <fill>
      <patternFill patternType="solid">
        <fgColor rgb="FFFFFFFF"/>
        <bgColor rgb="FF000000"/>
      </patternFill>
    </fill>
  </fills>
  <borders count="163">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hair">
        <color indexed="22"/>
      </left>
      <right style="hair">
        <color indexed="22"/>
      </right>
      <top style="hair">
        <color indexed="22"/>
      </top>
      <bottom style="hair">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hair">
        <color indexed="18"/>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ck">
        <color indexed="49"/>
      </bottom>
      <diagonal/>
    </border>
    <border>
      <left/>
      <right/>
      <top/>
      <bottom style="thick">
        <color indexed="35"/>
      </bottom>
      <diagonal/>
    </border>
    <border>
      <left/>
      <right/>
      <top/>
      <bottom style="medium">
        <color indexed="35"/>
      </bottom>
      <diagonal/>
    </border>
    <border>
      <left style="double">
        <color indexed="38"/>
      </left>
      <right style="double">
        <color indexed="38"/>
      </right>
      <top style="double">
        <color indexed="38"/>
      </top>
      <bottom style="double">
        <color indexed="38"/>
      </bottom>
      <diagonal/>
    </border>
    <border>
      <left style="thin">
        <color indexed="38"/>
      </left>
      <right style="thin">
        <color indexed="38"/>
      </right>
      <top style="thin">
        <color indexed="38"/>
      </top>
      <bottom style="thin">
        <color indexed="38"/>
      </bottom>
      <diagonal/>
    </border>
    <border>
      <left/>
      <right/>
      <top/>
      <bottom style="thick">
        <color indexed="24"/>
      </bottom>
      <diagonal/>
    </border>
    <border>
      <left/>
      <right/>
      <top/>
      <bottom style="medium">
        <color indexed="24"/>
      </bottom>
      <diagonal/>
    </border>
    <border>
      <left/>
      <right/>
      <top style="thin">
        <color indexed="49"/>
      </top>
      <bottom style="double">
        <color indexed="49"/>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38"/>
      </left>
      <right style="thin">
        <color indexed="38"/>
      </right>
      <top style="thin">
        <color indexed="38"/>
      </top>
      <bottom style="thin">
        <color indexed="38"/>
      </bottom>
      <diagonal/>
    </border>
    <border>
      <left/>
      <right/>
      <top style="thin">
        <color indexed="49"/>
      </top>
      <bottom style="double">
        <color indexed="49"/>
      </bottom>
      <diagonal/>
    </border>
    <border>
      <left style="thin">
        <color indexed="64"/>
      </left>
      <right style="thin">
        <color indexed="64"/>
      </right>
      <top style="hair">
        <color indexed="64"/>
      </top>
      <bottom style="hair">
        <color indexed="64"/>
      </bottom>
      <diagonal/>
    </border>
    <border>
      <left/>
      <right/>
      <top style="thin">
        <color theme="0" tint="-0.14996795556505021"/>
      </top>
      <bottom style="thin">
        <color theme="0" tint="-0.14996795556505021"/>
      </bottom>
      <diagonal/>
    </border>
    <border>
      <left/>
      <right/>
      <top/>
      <bottom style="thin">
        <color theme="0" tint="-0.14996795556505021"/>
      </bottom>
      <diagonal/>
    </border>
    <border>
      <left/>
      <right/>
      <top style="hair">
        <color indexed="64"/>
      </top>
      <bottom style="hair">
        <color indexed="64"/>
      </bottom>
      <diagonal/>
    </border>
    <border>
      <left/>
      <right/>
      <top style="thin">
        <color theme="0" tint="-0.14996795556505021"/>
      </top>
      <bottom style="thin">
        <color theme="0" tint="-0.14993743705557422"/>
      </bottom>
      <diagonal/>
    </border>
    <border>
      <left/>
      <right style="thin">
        <color indexed="64"/>
      </right>
      <top/>
      <bottom/>
      <diagonal/>
    </border>
    <border>
      <left/>
      <right/>
      <top/>
      <bottom style="thin">
        <color theme="0" tint="-0.24994659260841701"/>
      </bottom>
      <diagonal/>
    </border>
    <border>
      <left/>
      <right/>
      <top style="thin">
        <color theme="0" tint="-0.24994659260841701"/>
      </top>
      <bottom style="thin">
        <color theme="0" tint="-0.24994659260841701"/>
      </bottom>
      <diagonal/>
    </border>
    <border>
      <left/>
      <right/>
      <top style="thin">
        <color rgb="FF002F30"/>
      </top>
      <bottom style="thin">
        <color rgb="FF002F30"/>
      </bottom>
      <diagonal/>
    </border>
    <border>
      <left style="thin">
        <color rgb="FF002F30"/>
      </left>
      <right/>
      <top style="thin">
        <color rgb="FF002F30"/>
      </top>
      <bottom/>
      <diagonal/>
    </border>
    <border>
      <left/>
      <right/>
      <top style="thin">
        <color rgb="FF002F30"/>
      </top>
      <bottom/>
      <diagonal/>
    </border>
    <border>
      <left style="thin">
        <color rgb="FF002F30"/>
      </left>
      <right/>
      <top/>
      <bottom/>
      <diagonal/>
    </border>
    <border>
      <left style="thin">
        <color rgb="FF002F30"/>
      </left>
      <right/>
      <top style="thin">
        <color rgb="FF002F30"/>
      </top>
      <bottom style="thin">
        <color rgb="FF002F30"/>
      </bottom>
      <diagonal/>
    </border>
    <border>
      <left style="thin">
        <color rgb="FF002F30"/>
      </left>
      <right/>
      <top/>
      <bottom style="thin">
        <color rgb="FF002F30"/>
      </bottom>
      <diagonal/>
    </border>
    <border>
      <left/>
      <right/>
      <top/>
      <bottom style="thin">
        <color rgb="FF002F30"/>
      </bottom>
      <diagonal/>
    </border>
    <border>
      <left/>
      <right style="dashed">
        <color rgb="FF002F30"/>
      </right>
      <top style="thin">
        <color rgb="FF002F30"/>
      </top>
      <bottom style="thin">
        <color rgb="FF002F30"/>
      </bottom>
      <diagonal/>
    </border>
    <border>
      <left/>
      <right style="thin">
        <color rgb="FF002F30"/>
      </right>
      <top style="thin">
        <color rgb="FF002F30"/>
      </top>
      <bottom/>
      <diagonal/>
    </border>
    <border>
      <left/>
      <right style="thin">
        <color rgb="FF002F30"/>
      </right>
      <top/>
      <bottom/>
      <diagonal/>
    </border>
    <border>
      <left/>
      <right style="thin">
        <color rgb="FF002F30"/>
      </right>
      <top style="thin">
        <color rgb="FF002F30"/>
      </top>
      <bottom style="thin">
        <color rgb="FF002F30"/>
      </bottom>
      <diagonal/>
    </border>
    <border>
      <left/>
      <right style="dashed">
        <color rgb="FF002F30"/>
      </right>
      <top style="thin">
        <color rgb="FF002F30"/>
      </top>
      <bottom/>
      <diagonal/>
    </border>
    <border>
      <left/>
      <right style="dashed">
        <color rgb="FF002F30"/>
      </right>
      <top/>
      <bottom/>
      <diagonal/>
    </border>
    <border>
      <left/>
      <right style="thin">
        <color rgb="FF002F30"/>
      </right>
      <top/>
      <bottom style="thin">
        <color rgb="FF002F30"/>
      </bottom>
      <diagonal/>
    </border>
    <border>
      <left/>
      <right style="dashed">
        <color rgb="FF002F30"/>
      </right>
      <top/>
      <bottom style="thin">
        <color rgb="FF002F30"/>
      </bottom>
      <diagonal/>
    </border>
    <border>
      <left style="thin">
        <color rgb="FF002F30"/>
      </left>
      <right/>
      <top style="medium">
        <color rgb="FF007174"/>
      </top>
      <bottom style="medium">
        <color rgb="FF007174"/>
      </bottom>
      <diagonal/>
    </border>
    <border>
      <left/>
      <right/>
      <top style="medium">
        <color rgb="FF007174"/>
      </top>
      <bottom style="medium">
        <color rgb="FF007174"/>
      </bottom>
      <diagonal/>
    </border>
    <border>
      <left/>
      <right style="dashed">
        <color rgb="FF002F30"/>
      </right>
      <top style="medium">
        <color rgb="FF007174"/>
      </top>
      <bottom style="medium">
        <color rgb="FF007174"/>
      </bottom>
      <diagonal/>
    </border>
    <border>
      <left/>
      <right style="thin">
        <color rgb="FF002F30"/>
      </right>
      <top style="medium">
        <color rgb="FF007174"/>
      </top>
      <bottom style="medium">
        <color rgb="FF007174"/>
      </bottom>
      <diagonal/>
    </border>
    <border>
      <left style="thin">
        <color rgb="FF002F30"/>
      </left>
      <right/>
      <top style="medium">
        <color rgb="FF007174"/>
      </top>
      <bottom/>
      <diagonal/>
    </border>
    <border>
      <left/>
      <right/>
      <top style="medium">
        <color rgb="FF007174"/>
      </top>
      <bottom/>
      <diagonal/>
    </border>
    <border>
      <left/>
      <right style="dashed">
        <color rgb="FF002F30"/>
      </right>
      <top style="medium">
        <color rgb="FF007174"/>
      </top>
      <bottom/>
      <diagonal/>
    </border>
    <border>
      <left/>
      <right style="thin">
        <color rgb="FF002F30"/>
      </right>
      <top style="medium">
        <color rgb="FF007174"/>
      </top>
      <bottom/>
      <diagonal/>
    </border>
    <border>
      <left/>
      <right/>
      <top style="hair">
        <color indexed="18"/>
      </top>
      <bottom style="hair">
        <color indexed="18"/>
      </bottom>
      <diagonal/>
    </border>
    <border>
      <left/>
      <right/>
      <top style="hair">
        <color indexed="18"/>
      </top>
      <bottom/>
      <diagonal/>
    </border>
    <border>
      <left style="thin">
        <color rgb="FF002F30"/>
      </left>
      <right/>
      <top/>
      <bottom style="thin">
        <color theme="0" tint="-0.14996795556505021"/>
      </bottom>
      <diagonal/>
    </border>
    <border>
      <left/>
      <right style="thin">
        <color rgb="FF002F30"/>
      </right>
      <top/>
      <bottom style="thin">
        <color theme="0" tint="-0.14996795556505021"/>
      </bottom>
      <diagonal/>
    </border>
    <border>
      <left style="thin">
        <color rgb="FF002F30"/>
      </left>
      <right/>
      <top style="thin">
        <color theme="0" tint="-0.14996795556505021"/>
      </top>
      <bottom style="thin">
        <color theme="0" tint="-0.14996795556505021"/>
      </bottom>
      <diagonal/>
    </border>
    <border>
      <left/>
      <right style="thin">
        <color rgb="FF002F30"/>
      </right>
      <top style="thin">
        <color theme="0" tint="-0.14996795556505021"/>
      </top>
      <bottom style="thin">
        <color theme="0" tint="-0.14996795556505021"/>
      </bottom>
      <diagonal/>
    </border>
    <border>
      <left style="thin">
        <color rgb="FF002F30"/>
      </left>
      <right/>
      <top style="thin">
        <color theme="0" tint="-0.14996795556505021"/>
      </top>
      <bottom/>
      <diagonal/>
    </border>
    <border>
      <left style="thin">
        <color rgb="FF002F30"/>
      </left>
      <right/>
      <top style="dashed">
        <color rgb="FF002F30"/>
      </top>
      <bottom/>
      <diagonal/>
    </border>
    <border>
      <left/>
      <right/>
      <top style="dashed">
        <color rgb="FF002F30"/>
      </top>
      <bottom/>
      <diagonal/>
    </border>
    <border>
      <left/>
      <right style="thin">
        <color rgb="FF002F30"/>
      </right>
      <top style="dashed">
        <color rgb="FF002F30"/>
      </top>
      <bottom/>
      <diagonal/>
    </border>
    <border>
      <left style="thin">
        <color rgb="FF002F30"/>
      </left>
      <right/>
      <top/>
      <bottom style="dashed">
        <color rgb="FF002F30"/>
      </bottom>
      <diagonal/>
    </border>
    <border>
      <left/>
      <right/>
      <top/>
      <bottom style="dashed">
        <color rgb="FF002F30"/>
      </bottom>
      <diagonal/>
    </border>
    <border>
      <left style="thin">
        <color rgb="FF002F30"/>
      </left>
      <right style="thin">
        <color rgb="FF002F30"/>
      </right>
      <top style="thin">
        <color rgb="FF002F30"/>
      </top>
      <bottom/>
      <diagonal/>
    </border>
    <border>
      <left style="thin">
        <color rgb="FF002F30"/>
      </left>
      <right style="thin">
        <color rgb="FF002F30"/>
      </right>
      <top/>
      <bottom/>
      <diagonal/>
    </border>
    <border>
      <left style="thin">
        <color rgb="FF002F30"/>
      </left>
      <right style="thin">
        <color rgb="FF002F30"/>
      </right>
      <top/>
      <bottom style="thin">
        <color rgb="FF002F30"/>
      </bottom>
      <diagonal/>
    </border>
    <border>
      <left style="thin">
        <color rgb="FF002F30"/>
      </left>
      <right/>
      <top style="hair">
        <color indexed="18"/>
      </top>
      <bottom style="hair">
        <color indexed="18"/>
      </bottom>
      <diagonal/>
    </border>
    <border>
      <left/>
      <right style="thin">
        <color rgb="FF002F30"/>
      </right>
      <top style="hair">
        <color indexed="18"/>
      </top>
      <bottom style="hair">
        <color indexed="18"/>
      </bottom>
      <diagonal/>
    </border>
    <border>
      <left/>
      <right style="thin">
        <color rgb="FF002F30"/>
      </right>
      <top style="hair">
        <color indexed="18"/>
      </top>
      <bottom/>
      <diagonal/>
    </border>
    <border>
      <left style="thin">
        <color rgb="FF002F30"/>
      </left>
      <right/>
      <top/>
      <bottom style="hair">
        <color indexed="18"/>
      </bottom>
      <diagonal/>
    </border>
    <border>
      <left/>
      <right style="thin">
        <color rgb="FF002F30"/>
      </right>
      <top/>
      <bottom style="hair">
        <color indexed="18"/>
      </bottom>
      <diagonal/>
    </border>
    <border>
      <left style="thin">
        <color rgb="FF002F30"/>
      </left>
      <right/>
      <top style="hair">
        <color indexed="18"/>
      </top>
      <bottom style="thin">
        <color rgb="FF002F30"/>
      </bottom>
      <diagonal/>
    </border>
    <border>
      <left/>
      <right/>
      <top style="hair">
        <color indexed="18"/>
      </top>
      <bottom style="thin">
        <color rgb="FF002F30"/>
      </bottom>
      <diagonal/>
    </border>
    <border>
      <left/>
      <right style="thin">
        <color rgb="FF002F30"/>
      </right>
      <top style="hair">
        <color indexed="18"/>
      </top>
      <bottom style="thin">
        <color rgb="FF002F30"/>
      </bottom>
      <diagonal/>
    </border>
    <border>
      <left/>
      <right style="dashed">
        <color rgb="FF002F30"/>
      </right>
      <top style="hair">
        <color indexed="18"/>
      </top>
      <bottom style="hair">
        <color indexed="18"/>
      </bottom>
      <diagonal/>
    </border>
    <border>
      <left/>
      <right style="dashed">
        <color rgb="FF002F30"/>
      </right>
      <top style="hair">
        <color indexed="18"/>
      </top>
      <bottom/>
      <diagonal/>
    </border>
    <border>
      <left/>
      <right style="dashed">
        <color rgb="FF002F30"/>
      </right>
      <top/>
      <bottom style="hair">
        <color indexed="18"/>
      </bottom>
      <diagonal/>
    </border>
    <border>
      <left/>
      <right style="dashed">
        <color rgb="FF002F30"/>
      </right>
      <top style="hair">
        <color indexed="18"/>
      </top>
      <bottom style="thin">
        <color rgb="FF002F30"/>
      </bottom>
      <diagonal/>
    </border>
    <border>
      <left style="thin">
        <color rgb="FF002F30"/>
      </left>
      <right/>
      <top style="thin">
        <color rgb="FF002F30"/>
      </top>
      <bottom style="hair">
        <color indexed="18"/>
      </bottom>
      <diagonal/>
    </border>
    <border>
      <left/>
      <right/>
      <top style="thin">
        <color rgb="FF002F30"/>
      </top>
      <bottom style="hair">
        <color indexed="18"/>
      </bottom>
      <diagonal/>
    </border>
    <border>
      <left/>
      <right style="dashed">
        <color rgb="FF002F30"/>
      </right>
      <top style="thin">
        <color rgb="FF002F30"/>
      </top>
      <bottom style="hair">
        <color indexed="18"/>
      </bottom>
      <diagonal/>
    </border>
    <border>
      <left/>
      <right style="thin">
        <color rgb="FF002F30"/>
      </right>
      <top style="thin">
        <color rgb="FF002F30"/>
      </top>
      <bottom style="hair">
        <color indexed="18"/>
      </bottom>
      <diagonal/>
    </border>
    <border>
      <left style="thin">
        <color rgb="FF002F30"/>
      </left>
      <right/>
      <top style="hair">
        <color indexed="18"/>
      </top>
      <bottom/>
      <diagonal/>
    </border>
    <border>
      <left style="thin">
        <color rgb="FF002F30"/>
      </left>
      <right/>
      <top style="hair">
        <color rgb="FF002F30"/>
      </top>
      <bottom style="thin">
        <color rgb="FF002F30"/>
      </bottom>
      <diagonal/>
    </border>
    <border>
      <left/>
      <right/>
      <top style="hair">
        <color rgb="FF002F30"/>
      </top>
      <bottom style="thin">
        <color rgb="FF002F30"/>
      </bottom>
      <diagonal/>
    </border>
    <border>
      <left/>
      <right style="dashed">
        <color rgb="FF002F30"/>
      </right>
      <top style="hair">
        <color rgb="FF002F30"/>
      </top>
      <bottom style="thin">
        <color rgb="FF002F30"/>
      </bottom>
      <diagonal/>
    </border>
    <border>
      <left/>
      <right style="thin">
        <color rgb="FF002F30"/>
      </right>
      <top style="hair">
        <color rgb="FF002F30"/>
      </top>
      <bottom style="thin">
        <color rgb="FF002F30"/>
      </bottom>
      <diagonal/>
    </border>
    <border>
      <left style="thin">
        <color rgb="FF002F30"/>
      </left>
      <right/>
      <top style="hair">
        <color rgb="FF002F30"/>
      </top>
      <bottom style="hair">
        <color rgb="FF002F30"/>
      </bottom>
      <diagonal/>
    </border>
    <border>
      <left/>
      <right/>
      <top style="hair">
        <color rgb="FF002F30"/>
      </top>
      <bottom style="hair">
        <color rgb="FF002F30"/>
      </bottom>
      <diagonal/>
    </border>
    <border>
      <left/>
      <right style="dashed">
        <color rgb="FF002F30"/>
      </right>
      <top style="hair">
        <color rgb="FF002F30"/>
      </top>
      <bottom style="hair">
        <color rgb="FF002F30"/>
      </bottom>
      <diagonal/>
    </border>
    <border>
      <left/>
      <right style="thin">
        <color rgb="FF002F30"/>
      </right>
      <top style="hair">
        <color rgb="FF002F30"/>
      </top>
      <bottom style="hair">
        <color rgb="FF002F30"/>
      </bottom>
      <diagonal/>
    </border>
    <border>
      <left style="thin">
        <color rgb="FF002F30"/>
      </left>
      <right/>
      <top style="hair">
        <color rgb="FF002F30"/>
      </top>
      <bottom/>
      <diagonal/>
    </border>
    <border>
      <left/>
      <right/>
      <top style="hair">
        <color rgb="FF002F30"/>
      </top>
      <bottom/>
      <diagonal/>
    </border>
    <border>
      <left/>
      <right style="dashed">
        <color rgb="FF002F30"/>
      </right>
      <top style="hair">
        <color rgb="FF002F30"/>
      </top>
      <bottom/>
      <diagonal/>
    </border>
    <border>
      <left/>
      <right style="thin">
        <color rgb="FF002F30"/>
      </right>
      <top style="hair">
        <color rgb="FF002F30"/>
      </top>
      <bottom/>
      <diagonal/>
    </border>
    <border>
      <left style="thin">
        <color rgb="FF002F30"/>
      </left>
      <right/>
      <top/>
      <bottom style="hair">
        <color rgb="FF002F30"/>
      </bottom>
      <diagonal/>
    </border>
    <border>
      <left/>
      <right/>
      <top/>
      <bottom style="hair">
        <color rgb="FF002F30"/>
      </bottom>
      <diagonal/>
    </border>
    <border>
      <left/>
      <right style="dashed">
        <color rgb="FF002F30"/>
      </right>
      <top/>
      <bottom style="hair">
        <color rgb="FF002F30"/>
      </bottom>
      <diagonal/>
    </border>
    <border>
      <left/>
      <right style="thin">
        <color rgb="FF002F30"/>
      </right>
      <top/>
      <bottom style="hair">
        <color rgb="FF002F30"/>
      </bottom>
      <diagonal/>
    </border>
    <border>
      <left/>
      <right style="thin">
        <color rgb="FF002F30"/>
      </right>
      <top/>
      <bottom style="thin">
        <color theme="0" tint="-0.24994659260841701"/>
      </bottom>
      <diagonal/>
    </border>
    <border>
      <left/>
      <right style="thin">
        <color rgb="FF002F30"/>
      </right>
      <top style="thin">
        <color theme="0" tint="-0.24994659260841701"/>
      </top>
      <bottom style="thin">
        <color theme="0" tint="-0.24994659260841701"/>
      </bottom>
      <diagonal/>
    </border>
    <border>
      <left style="thin">
        <color rgb="FF002F30"/>
      </left>
      <right/>
      <top/>
      <bottom style="thin">
        <color indexed="64"/>
      </bottom>
      <diagonal/>
    </border>
    <border>
      <left/>
      <right/>
      <top/>
      <bottom style="thin">
        <color indexed="64"/>
      </bottom>
      <diagonal/>
    </border>
    <border>
      <left/>
      <right style="thin">
        <color rgb="FF002F30"/>
      </right>
      <top/>
      <bottom style="thin">
        <color indexed="64"/>
      </bottom>
      <diagonal/>
    </border>
    <border>
      <left style="thin">
        <color rgb="FF002F30"/>
      </left>
      <right/>
      <top style="dashed">
        <color rgb="FF002F30"/>
      </top>
      <bottom style="hair">
        <color rgb="FF002F30"/>
      </bottom>
      <diagonal/>
    </border>
    <border>
      <left/>
      <right/>
      <top style="dashed">
        <color rgb="FF002F30"/>
      </top>
      <bottom style="hair">
        <color rgb="FF002F30"/>
      </bottom>
      <diagonal/>
    </border>
    <border>
      <left/>
      <right style="dashed">
        <color rgb="FF002F30"/>
      </right>
      <top style="dashed">
        <color rgb="FF002F30"/>
      </top>
      <bottom style="hair">
        <color rgb="FF002F30"/>
      </bottom>
      <diagonal/>
    </border>
    <border>
      <left/>
      <right style="thin">
        <color rgb="FF002F30"/>
      </right>
      <top style="dashed">
        <color rgb="FF002F30"/>
      </top>
      <bottom style="hair">
        <color rgb="FF002F30"/>
      </bottom>
      <diagonal/>
    </border>
    <border>
      <left style="thin">
        <color rgb="FF002F30"/>
      </left>
      <right/>
      <top style="hair">
        <color rgb="FF002F30"/>
      </top>
      <bottom style="dashed">
        <color rgb="FF002F30"/>
      </bottom>
      <diagonal/>
    </border>
    <border>
      <left/>
      <right/>
      <top style="hair">
        <color rgb="FF002F30"/>
      </top>
      <bottom style="dashed">
        <color rgb="FF002F30"/>
      </bottom>
      <diagonal/>
    </border>
    <border>
      <left/>
      <right style="dashed">
        <color rgb="FF002F30"/>
      </right>
      <top style="hair">
        <color rgb="FF002F30"/>
      </top>
      <bottom style="dashed">
        <color rgb="FF002F30"/>
      </bottom>
      <diagonal/>
    </border>
    <border>
      <left/>
      <right style="thin">
        <color rgb="FF002F30"/>
      </right>
      <top style="hair">
        <color rgb="FF002F30"/>
      </top>
      <bottom style="dashed">
        <color rgb="FF002F30"/>
      </bottom>
      <diagonal/>
    </border>
    <border>
      <left/>
      <right/>
      <top style="thin">
        <color theme="0" tint="-0.24994659260841701"/>
      </top>
      <bottom style="thin">
        <color theme="0" tint="-0.34998626667073579"/>
      </bottom>
      <diagonal/>
    </border>
    <border>
      <left/>
      <right style="thin">
        <color rgb="FF002F30"/>
      </right>
      <top style="thin">
        <color theme="0" tint="-0.24994659260841701"/>
      </top>
      <bottom style="thin">
        <color theme="0" tint="-0.34998626667073579"/>
      </bottom>
      <diagonal/>
    </border>
    <border>
      <left/>
      <right/>
      <top style="thin">
        <color theme="0" tint="-0.24994659260841701"/>
      </top>
      <bottom/>
      <diagonal/>
    </border>
    <border>
      <left/>
      <right style="thin">
        <color indexed="64"/>
      </right>
      <top/>
      <bottom style="dashed">
        <color rgb="FF002F30"/>
      </bottom>
      <diagonal/>
    </border>
    <border>
      <left/>
      <right style="thin">
        <color indexed="64"/>
      </right>
      <top style="thin">
        <color theme="0" tint="-0.14996795556505021"/>
      </top>
      <bottom style="thin">
        <color theme="0" tint="-0.14996795556505021"/>
      </bottom>
      <diagonal/>
    </border>
    <border>
      <left/>
      <right style="thin">
        <color indexed="64"/>
      </right>
      <top/>
      <bottom style="thin">
        <color theme="0" tint="-0.14996795556505021"/>
      </bottom>
      <diagonal/>
    </border>
    <border>
      <left style="thin">
        <color rgb="FF002F30"/>
      </left>
      <right/>
      <top style="hair">
        <color rgb="FF002F30"/>
      </top>
      <bottom style="thin">
        <color theme="0" tint="-0.24994659260841701"/>
      </bottom>
      <diagonal/>
    </border>
    <border>
      <left style="thin">
        <color rgb="FF002F30"/>
      </left>
      <right/>
      <top style="thin">
        <color theme="0" tint="-0.24994659260841701"/>
      </top>
      <bottom style="thin">
        <color theme="0" tint="-0.24994659260841701"/>
      </bottom>
      <diagonal/>
    </border>
    <border>
      <left style="thin">
        <color rgb="FF002F30"/>
      </left>
      <right/>
      <top style="thin">
        <color theme="0" tint="-0.24994659260841701"/>
      </top>
      <bottom style="thin">
        <color theme="0" tint="-0.34998626667073579"/>
      </bottom>
      <diagonal/>
    </border>
    <border>
      <left/>
      <right style="thin">
        <color theme="1"/>
      </right>
      <top style="thin">
        <color theme="0" tint="-0.14996795556505021"/>
      </top>
      <bottom style="thin">
        <color theme="0" tint="-0.14996795556505021"/>
      </bottom>
      <diagonal/>
    </border>
    <border>
      <left style="thin">
        <color rgb="FF002F30"/>
      </left>
      <right/>
      <top style="thin">
        <color theme="0" tint="-0.24994659260841701"/>
      </top>
      <bottom style="thin">
        <color indexed="64"/>
      </bottom>
      <diagonal/>
    </border>
    <border>
      <left style="dashed">
        <color rgb="FF002F30"/>
      </left>
      <right style="dashed">
        <color rgb="FF002F30"/>
      </right>
      <top style="thin">
        <color rgb="FF002F30"/>
      </top>
      <bottom style="thin">
        <color rgb="FF002F30"/>
      </bottom>
      <diagonal/>
    </border>
    <border>
      <left style="dashed">
        <color rgb="FF002F30"/>
      </left>
      <right style="dashed">
        <color rgb="FF002F30"/>
      </right>
      <top style="thin">
        <color rgb="FF002F30"/>
      </top>
      <bottom/>
      <diagonal/>
    </border>
    <border>
      <left style="dashed">
        <color rgb="FF002F30"/>
      </left>
      <right style="dashed">
        <color rgb="FF002F30"/>
      </right>
      <top/>
      <bottom/>
      <diagonal/>
    </border>
    <border>
      <left style="dashed">
        <color rgb="FF002F30"/>
      </left>
      <right style="dashed">
        <color rgb="FF002F30"/>
      </right>
      <top/>
      <bottom style="thin">
        <color rgb="FF002F30"/>
      </bottom>
      <diagonal/>
    </border>
    <border>
      <left style="dashed">
        <color rgb="FF002F30"/>
      </left>
      <right style="dashed">
        <color rgb="FF002F30"/>
      </right>
      <top style="medium">
        <color rgb="FF007174"/>
      </top>
      <bottom style="medium">
        <color rgb="FF007174"/>
      </bottom>
      <diagonal/>
    </border>
    <border>
      <left style="dashed">
        <color rgb="FF002F30"/>
      </left>
      <right style="thin">
        <color rgb="FF002F30"/>
      </right>
      <top style="thin">
        <color rgb="FF002F30"/>
      </top>
      <bottom/>
      <diagonal/>
    </border>
    <border>
      <left style="dashed">
        <color rgb="FF002F30"/>
      </left>
      <right style="dashed">
        <color rgb="FF002F30"/>
      </right>
      <top style="medium">
        <color rgb="FF007174"/>
      </top>
      <bottom/>
      <diagonal/>
    </border>
    <border>
      <left/>
      <right/>
      <top style="thin">
        <color theme="0" tint="-0.24994659260841701"/>
      </top>
      <bottom style="thin">
        <color indexed="64"/>
      </bottom>
      <diagonal/>
    </border>
    <border>
      <left/>
      <right/>
      <top style="thin">
        <color indexed="64"/>
      </top>
      <bottom/>
      <diagonal/>
    </border>
    <border>
      <left/>
      <right style="dashed">
        <color rgb="FF002F30"/>
      </right>
      <top style="thin">
        <color indexed="64"/>
      </top>
      <bottom/>
      <diagonal/>
    </border>
    <border>
      <left/>
      <right style="thin">
        <color rgb="FF002F30"/>
      </right>
      <top style="thin">
        <color theme="0" tint="-0.24994659260841701"/>
      </top>
      <bottom/>
      <diagonal/>
    </border>
    <border>
      <left style="thin">
        <color rgb="FF002F30"/>
      </left>
      <right/>
      <top/>
      <bottom style="thin">
        <color theme="0" tint="-0.24994659260841701"/>
      </bottom>
      <diagonal/>
    </border>
    <border>
      <left/>
      <right/>
      <top style="thin">
        <color auto="1"/>
      </top>
      <bottom style="thin">
        <color auto="1"/>
      </bottom>
      <diagonal/>
    </border>
    <border>
      <left style="dashed">
        <color rgb="FF002F30"/>
      </left>
      <right style="thin">
        <color rgb="FF002F30"/>
      </right>
      <top style="hair">
        <color rgb="FF002F30"/>
      </top>
      <bottom style="thin">
        <color rgb="FF002F30"/>
      </bottom>
      <diagonal/>
    </border>
    <border>
      <left/>
      <right/>
      <top style="hair">
        <color rgb="FF002F30"/>
      </top>
      <bottom style="thin">
        <color indexed="64"/>
      </bottom>
      <diagonal/>
    </border>
    <border>
      <left/>
      <right style="dashed">
        <color auto="1"/>
      </right>
      <top/>
      <bottom/>
      <diagonal/>
    </border>
    <border>
      <left/>
      <right style="dashed">
        <color rgb="FF002F30"/>
      </right>
      <top/>
      <bottom style="dashed">
        <color rgb="FF002F30"/>
      </bottom>
      <diagonal/>
    </border>
    <border>
      <left/>
      <right style="dashed">
        <color indexed="64"/>
      </right>
      <top/>
      <bottom style="thin">
        <color indexed="64"/>
      </bottom>
      <diagonal/>
    </border>
    <border>
      <left style="thin">
        <color rgb="FF002F30"/>
      </left>
      <right/>
      <top style="thin">
        <color theme="0" tint="-0.34998626667073579"/>
      </top>
      <bottom style="hair">
        <color rgb="FF002F30"/>
      </bottom>
      <diagonal/>
    </border>
    <border>
      <left/>
      <right style="thin">
        <color rgb="FF002F30"/>
      </right>
      <top style="thin">
        <color theme="0" tint="-0.34998626667073579"/>
      </top>
      <bottom style="hair">
        <color rgb="FF002F30"/>
      </bottom>
      <diagonal/>
    </border>
    <border>
      <left/>
      <right style="thin">
        <color rgb="FF002F30"/>
      </right>
      <top/>
      <bottom style="thin">
        <color theme="0" tint="-0.34998626667073579"/>
      </bottom>
      <diagonal/>
    </border>
    <border>
      <left style="thin">
        <color rgb="FF002F30"/>
      </left>
      <right/>
      <top style="thin">
        <color theme="0" tint="-0.24994659260841701"/>
      </top>
      <bottom style="hair">
        <color rgb="FF002F30"/>
      </bottom>
      <diagonal/>
    </border>
    <border>
      <left/>
      <right style="thin">
        <color rgb="FF002F30"/>
      </right>
      <top style="thin">
        <color theme="0" tint="-0.24994659260841701"/>
      </top>
      <bottom style="hair">
        <color rgb="FF002F30"/>
      </bottom>
      <diagonal/>
    </border>
    <border>
      <left style="thin">
        <color indexed="64"/>
      </left>
      <right/>
      <top style="hair">
        <color rgb="FF002F30"/>
      </top>
      <bottom style="hair">
        <color rgb="FF002F30"/>
      </bottom>
      <diagonal/>
    </border>
    <border>
      <left/>
      <right style="thin">
        <color rgb="FF002F30"/>
      </right>
      <top style="thin">
        <color theme="0" tint="-0.24994659260841701"/>
      </top>
      <bottom style="thin">
        <color indexed="64"/>
      </bottom>
      <diagonal/>
    </border>
    <border>
      <left/>
      <right style="thin">
        <color indexed="64"/>
      </right>
      <top/>
      <bottom style="hair">
        <color rgb="FF002F30"/>
      </bottom>
      <diagonal/>
    </border>
    <border>
      <left style="thin">
        <color rgb="FF002F30"/>
      </left>
      <right/>
      <top style="dashed">
        <color rgb="FF002F30"/>
      </top>
      <bottom style="dashed">
        <color rgb="FF002F30"/>
      </bottom>
      <diagonal/>
    </border>
    <border>
      <left/>
      <right/>
      <top style="dashed">
        <color rgb="FF002F30"/>
      </top>
      <bottom style="dashed">
        <color rgb="FF002F30"/>
      </bottom>
      <diagonal/>
    </border>
    <border>
      <left/>
      <right style="dashed">
        <color rgb="FF002F30"/>
      </right>
      <top style="dashed">
        <color rgb="FF002F30"/>
      </top>
      <bottom style="dashed">
        <color rgb="FF002F30"/>
      </bottom>
      <diagonal/>
    </border>
    <border>
      <left style="dashed">
        <color rgb="FF002F30"/>
      </left>
      <right style="thin">
        <color indexed="64"/>
      </right>
      <top style="dashed">
        <color rgb="FF002F30"/>
      </top>
      <bottom style="dashed">
        <color rgb="FF002F30"/>
      </bottom>
      <diagonal/>
    </border>
    <border>
      <left style="thin">
        <color rgb="FF002F30"/>
      </left>
      <right/>
      <top style="thin">
        <color theme="0" tint="-0.24994659260841701"/>
      </top>
      <bottom/>
      <diagonal/>
    </border>
  </borders>
  <cellStyleXfs count="354">
    <xf numFmtId="0" fontId="0" fillId="0" borderId="0"/>
    <xf numFmtId="0" fontId="25" fillId="0" borderId="0">
      <alignment vertical="top"/>
    </xf>
    <xf numFmtId="0" fontId="21" fillId="2" borderId="0" applyNumberFormat="0" applyBorder="0" applyAlignment="0" applyProtection="0"/>
    <xf numFmtId="0" fontId="21" fillId="3" borderId="0" applyNumberFormat="0" applyBorder="0" applyAlignment="0" applyProtection="0"/>
    <xf numFmtId="0" fontId="21" fillId="4" borderId="0" applyNumberFormat="0" applyBorder="0" applyAlignment="0" applyProtection="0"/>
    <xf numFmtId="0" fontId="21" fillId="5" borderId="0" applyNumberFormat="0" applyBorder="0" applyAlignment="0" applyProtection="0"/>
    <xf numFmtId="0" fontId="21" fillId="6" borderId="0" applyNumberFormat="0" applyBorder="0" applyAlignment="0" applyProtection="0"/>
    <xf numFmtId="0" fontId="21" fillId="7" borderId="0" applyNumberFormat="0" applyBorder="0" applyAlignment="0" applyProtection="0"/>
    <xf numFmtId="0" fontId="21" fillId="8" borderId="0" applyNumberFormat="0" applyBorder="0" applyAlignment="0" applyProtection="0"/>
    <xf numFmtId="0" fontId="21" fillId="9" borderId="0" applyNumberFormat="0" applyBorder="0" applyAlignment="0" applyProtection="0"/>
    <xf numFmtId="0" fontId="21" fillId="10" borderId="0" applyNumberFormat="0" applyBorder="0" applyAlignment="0" applyProtection="0"/>
    <xf numFmtId="0" fontId="21" fillId="5" borderId="0" applyNumberFormat="0" applyBorder="0" applyAlignment="0" applyProtection="0"/>
    <xf numFmtId="0" fontId="21" fillId="8" borderId="0" applyNumberFormat="0" applyBorder="0" applyAlignment="0" applyProtection="0"/>
    <xf numFmtId="0" fontId="21" fillId="11" borderId="0" applyNumberFormat="0" applyBorder="0" applyAlignment="0" applyProtection="0"/>
    <xf numFmtId="0" fontId="20" fillId="12" borderId="0" applyNumberFormat="0" applyBorder="0" applyAlignment="0" applyProtection="0"/>
    <xf numFmtId="0" fontId="20" fillId="9" borderId="0" applyNumberFormat="0" applyBorder="0" applyAlignment="0" applyProtection="0"/>
    <xf numFmtId="0" fontId="20" fillId="10" borderId="0" applyNumberFormat="0" applyBorder="0" applyAlignment="0" applyProtection="0"/>
    <xf numFmtId="0" fontId="20" fillId="13" borderId="0" applyNumberFormat="0" applyBorder="0" applyAlignment="0" applyProtection="0"/>
    <xf numFmtId="0" fontId="20" fillId="14" borderId="0" applyNumberFormat="0" applyBorder="0" applyAlignment="0" applyProtection="0"/>
    <xf numFmtId="0" fontId="20" fillId="15" borderId="0" applyNumberFormat="0" applyBorder="0" applyAlignment="0" applyProtection="0"/>
    <xf numFmtId="43" fontId="33" fillId="0" borderId="0" applyFont="0" applyFill="0" applyBorder="0" applyAlignment="0" applyProtection="0"/>
    <xf numFmtId="3" fontId="23" fillId="0" borderId="0" applyFont="0" applyFill="0" applyBorder="0" applyAlignment="0" applyProtection="0"/>
    <xf numFmtId="0" fontId="34" fillId="0" borderId="0">
      <protection locked="0"/>
    </xf>
    <xf numFmtId="166" fontId="35" fillId="0" borderId="0" applyFont="0" applyFill="0" applyBorder="0" applyAlignment="0" applyProtection="0"/>
    <xf numFmtId="189" fontId="23" fillId="0" borderId="0" applyFont="0" applyFill="0" applyBorder="0" applyAlignment="0" applyProtection="0"/>
    <xf numFmtId="172" fontId="22" fillId="0" borderId="0" applyFont="0" applyFill="0" applyBorder="0" applyAlignment="0" applyProtection="0"/>
    <xf numFmtId="0" fontId="34" fillId="0" borderId="0">
      <protection locked="0"/>
    </xf>
    <xf numFmtId="0" fontId="34" fillId="0" borderId="0">
      <protection locked="0"/>
    </xf>
    <xf numFmtId="0" fontId="34" fillId="0" borderId="0">
      <protection locked="0"/>
    </xf>
    <xf numFmtId="0" fontId="34" fillId="0" borderId="0">
      <protection locked="0"/>
    </xf>
    <xf numFmtId="0" fontId="34" fillId="0" borderId="0">
      <protection locked="0"/>
    </xf>
    <xf numFmtId="0" fontId="34" fillId="0" borderId="0">
      <protection locked="0"/>
    </xf>
    <xf numFmtId="0" fontId="34" fillId="0" borderId="0">
      <protection locked="0"/>
    </xf>
    <xf numFmtId="190" fontId="34" fillId="0" borderId="0">
      <protection locked="0"/>
    </xf>
    <xf numFmtId="0" fontId="32" fillId="0" borderId="0" applyNumberFormat="0" applyFill="0" applyBorder="0" applyAlignment="0" applyProtection="0">
      <alignment vertical="top"/>
      <protection locked="0"/>
    </xf>
    <xf numFmtId="0" fontId="42" fillId="22" borderId="3" applyNumberFormat="0" applyBorder="0" applyProtection="0">
      <alignment vertical="center"/>
    </xf>
    <xf numFmtId="0" fontId="23" fillId="0" borderId="0"/>
    <xf numFmtId="0" fontId="36" fillId="0" borderId="0">
      <protection locked="0"/>
    </xf>
    <xf numFmtId="0" fontId="36" fillId="0" borderId="0">
      <protection locked="0"/>
    </xf>
    <xf numFmtId="0" fontId="32" fillId="0" borderId="0" applyNumberFormat="0" applyFill="0" applyBorder="0" applyAlignment="0" applyProtection="0">
      <alignment vertical="top"/>
      <protection locked="0"/>
    </xf>
    <xf numFmtId="166" fontId="23" fillId="0" borderId="0" applyFont="0" applyFill="0" applyBorder="0" applyAlignment="0" applyProtection="0"/>
    <xf numFmtId="167" fontId="23" fillId="0" borderId="0" applyFont="0" applyFill="0" applyBorder="0" applyAlignment="0" applyProtection="0"/>
    <xf numFmtId="0" fontId="37" fillId="0" borderId="0" applyFont="0" applyFill="0" applyBorder="0" applyAlignment="0" applyProtection="0"/>
    <xf numFmtId="0" fontId="37" fillId="0" borderId="0" applyFont="0" applyFill="0" applyBorder="0" applyAlignment="0" applyProtection="0"/>
    <xf numFmtId="164" fontId="23" fillId="0" borderId="0" applyFont="0" applyFill="0" applyBorder="0" applyAlignment="0" applyProtection="0"/>
    <xf numFmtId="165" fontId="23" fillId="0" borderId="0" applyFont="0" applyFill="0" applyBorder="0" applyAlignment="0" applyProtection="0"/>
    <xf numFmtId="0" fontId="33" fillId="0" borderId="0"/>
    <xf numFmtId="0" fontId="33" fillId="0" borderId="0"/>
    <xf numFmtId="0" fontId="33" fillId="0" borderId="0"/>
    <xf numFmtId="0" fontId="33" fillId="0" borderId="0"/>
    <xf numFmtId="0" fontId="33" fillId="0" borderId="0"/>
    <xf numFmtId="0" fontId="38" fillId="0" borderId="0"/>
    <xf numFmtId="0" fontId="4" fillId="0" borderId="0"/>
    <xf numFmtId="0" fontId="33" fillId="0" borderId="0"/>
    <xf numFmtId="0" fontId="33" fillId="0" borderId="0"/>
    <xf numFmtId="0" fontId="38" fillId="0" borderId="0"/>
    <xf numFmtId="0" fontId="33" fillId="0" borderId="0"/>
    <xf numFmtId="0" fontId="33" fillId="0" borderId="0"/>
    <xf numFmtId="0" fontId="39" fillId="0" borderId="0"/>
    <xf numFmtId="0" fontId="39" fillId="0" borderId="0"/>
    <xf numFmtId="0" fontId="39" fillId="0" borderId="0"/>
    <xf numFmtId="0" fontId="39" fillId="0" borderId="0"/>
    <xf numFmtId="0" fontId="39" fillId="0" borderId="0"/>
    <xf numFmtId="0" fontId="33" fillId="0" borderId="0"/>
    <xf numFmtId="0" fontId="33" fillId="0" borderId="0"/>
    <xf numFmtId="0" fontId="33" fillId="0" borderId="0"/>
    <xf numFmtId="0" fontId="33" fillId="0" borderId="0"/>
    <xf numFmtId="0" fontId="22" fillId="0" borderId="0"/>
    <xf numFmtId="0" fontId="23" fillId="0" borderId="0"/>
    <xf numFmtId="0" fontId="26" fillId="25" borderId="0"/>
    <xf numFmtId="0" fontId="27" fillId="26" borderId="0"/>
    <xf numFmtId="0" fontId="28" fillId="27" borderId="0">
      <alignment horizontal="left"/>
    </xf>
    <xf numFmtId="0" fontId="29" fillId="28" borderId="9">
      <alignment horizontal="left"/>
    </xf>
    <xf numFmtId="0" fontId="28" fillId="29" borderId="0"/>
    <xf numFmtId="175" fontId="23" fillId="30" borderId="9">
      <alignment horizontal="left"/>
      <protection locked="0"/>
    </xf>
    <xf numFmtId="3" fontId="23" fillId="30" borderId="9">
      <alignment horizontal="right"/>
      <protection locked="0"/>
    </xf>
    <xf numFmtId="4" fontId="23" fillId="30" borderId="9">
      <alignment horizontal="right"/>
      <protection locked="0"/>
    </xf>
    <xf numFmtId="176" fontId="23" fillId="30" borderId="9">
      <alignment horizontal="right"/>
      <protection locked="0"/>
    </xf>
    <xf numFmtId="177" fontId="23" fillId="30" borderId="9">
      <alignment horizontal="right"/>
      <protection locked="0"/>
    </xf>
    <xf numFmtId="178" fontId="23" fillId="30" borderId="9">
      <alignment horizontal="right"/>
      <protection locked="0"/>
    </xf>
    <xf numFmtId="179" fontId="23" fillId="30" borderId="9">
      <alignment horizontal="right"/>
      <protection locked="0"/>
    </xf>
    <xf numFmtId="180" fontId="23" fillId="30" borderId="9">
      <alignment horizontal="right"/>
      <protection locked="0"/>
    </xf>
    <xf numFmtId="171" fontId="23" fillId="30" borderId="9">
      <alignment horizontal="right"/>
      <protection locked="0"/>
    </xf>
    <xf numFmtId="2" fontId="23" fillId="30" borderId="9">
      <alignment horizontal="right"/>
      <protection locked="0"/>
    </xf>
    <xf numFmtId="181" fontId="23" fillId="30" borderId="9">
      <alignment horizontal="right"/>
      <protection locked="0"/>
    </xf>
    <xf numFmtId="182" fontId="23" fillId="30" borderId="9">
      <alignment horizontal="right"/>
      <protection locked="0"/>
    </xf>
    <xf numFmtId="170" fontId="23" fillId="30" borderId="9">
      <alignment horizontal="right"/>
      <protection locked="0"/>
    </xf>
    <xf numFmtId="1" fontId="23" fillId="30" borderId="9">
      <alignment horizontal="right"/>
      <protection locked="0"/>
    </xf>
    <xf numFmtId="183" fontId="23" fillId="30" borderId="9">
      <alignment horizontal="right"/>
      <protection locked="0"/>
    </xf>
    <xf numFmtId="177" fontId="23" fillId="30" borderId="9">
      <alignment horizontal="right"/>
      <protection locked="0"/>
    </xf>
    <xf numFmtId="178" fontId="23" fillId="30" borderId="9">
      <alignment horizontal="right"/>
      <protection locked="0"/>
    </xf>
    <xf numFmtId="184" fontId="23" fillId="30" borderId="9">
      <alignment horizontal="right"/>
      <protection locked="0"/>
    </xf>
    <xf numFmtId="185" fontId="23" fillId="30" borderId="9">
      <alignment horizontal="right"/>
      <protection locked="0"/>
    </xf>
    <xf numFmtId="186" fontId="23" fillId="30" borderId="9">
      <alignment horizontal="right"/>
      <protection locked="0"/>
    </xf>
    <xf numFmtId="187" fontId="23" fillId="30" borderId="9">
      <alignment horizontal="right"/>
      <protection locked="0"/>
    </xf>
    <xf numFmtId="188" fontId="23" fillId="30" borderId="9">
      <alignment horizontal="right"/>
      <protection locked="0"/>
    </xf>
    <xf numFmtId="49" fontId="23" fillId="30" borderId="9">
      <alignment horizontal="left"/>
      <protection locked="0"/>
    </xf>
    <xf numFmtId="49" fontId="30" fillId="30" borderId="9">
      <alignment horizontal="left" wrapText="1"/>
      <protection locked="0"/>
    </xf>
    <xf numFmtId="18" fontId="23" fillId="30" borderId="9">
      <alignment horizontal="left"/>
      <protection locked="0"/>
    </xf>
    <xf numFmtId="0" fontId="31" fillId="31" borderId="9">
      <alignment horizontal="center"/>
    </xf>
    <xf numFmtId="0" fontId="31" fillId="31" borderId="9">
      <alignment horizontal="center" wrapText="1"/>
    </xf>
    <xf numFmtId="175" fontId="31" fillId="31" borderId="9">
      <alignment horizontal="left"/>
    </xf>
    <xf numFmtId="0" fontId="31" fillId="31" borderId="9">
      <alignment horizontal="left"/>
    </xf>
    <xf numFmtId="0" fontId="31" fillId="31" borderId="9">
      <alignment horizontal="left" wrapText="1"/>
    </xf>
    <xf numFmtId="0" fontId="31" fillId="31" borderId="9">
      <alignment horizontal="right"/>
    </xf>
    <xf numFmtId="0" fontId="31" fillId="31" borderId="9">
      <alignment horizontal="right" wrapText="1"/>
    </xf>
    <xf numFmtId="175" fontId="23" fillId="32" borderId="9">
      <alignment horizontal="left"/>
    </xf>
    <xf numFmtId="3" fontId="23" fillId="32" borderId="9">
      <alignment horizontal="right"/>
    </xf>
    <xf numFmtId="4" fontId="23" fillId="32" borderId="9">
      <alignment horizontal="right"/>
    </xf>
    <xf numFmtId="176" fontId="23" fillId="32" borderId="9">
      <alignment horizontal="right"/>
    </xf>
    <xf numFmtId="177" fontId="23" fillId="32" borderId="9">
      <alignment horizontal="right"/>
    </xf>
    <xf numFmtId="178" fontId="23" fillId="32" borderId="9">
      <alignment horizontal="right"/>
      <protection locked="0"/>
    </xf>
    <xf numFmtId="179" fontId="23" fillId="32" borderId="9">
      <alignment horizontal="right"/>
    </xf>
    <xf numFmtId="180" fontId="23" fillId="32" borderId="9">
      <alignment horizontal="right"/>
    </xf>
    <xf numFmtId="171" fontId="23" fillId="32" borderId="9">
      <alignment horizontal="right"/>
    </xf>
    <xf numFmtId="2" fontId="23" fillId="32" borderId="9">
      <alignment horizontal="right"/>
    </xf>
    <xf numFmtId="181" fontId="23" fillId="32" borderId="9">
      <alignment horizontal="right"/>
    </xf>
    <xf numFmtId="182" fontId="23" fillId="32" borderId="9">
      <alignment horizontal="right"/>
    </xf>
    <xf numFmtId="170" fontId="23" fillId="32" borderId="9">
      <alignment horizontal="right"/>
    </xf>
    <xf numFmtId="1" fontId="23" fillId="32" borderId="9">
      <alignment horizontal="right"/>
    </xf>
    <xf numFmtId="183" fontId="23" fillId="32" borderId="9">
      <alignment horizontal="right"/>
    </xf>
    <xf numFmtId="177" fontId="23" fillId="32" borderId="9">
      <alignment horizontal="right"/>
    </xf>
    <xf numFmtId="178" fontId="23" fillId="32" borderId="9">
      <alignment horizontal="right"/>
    </xf>
    <xf numFmtId="184" fontId="23" fillId="32" borderId="9">
      <alignment horizontal="right"/>
    </xf>
    <xf numFmtId="185" fontId="23" fillId="32" borderId="9">
      <alignment horizontal="right"/>
    </xf>
    <xf numFmtId="186" fontId="23" fillId="32" borderId="9">
      <alignment horizontal="right"/>
    </xf>
    <xf numFmtId="187" fontId="23" fillId="32" borderId="9">
      <alignment horizontal="right"/>
    </xf>
    <xf numFmtId="188" fontId="23" fillId="32" borderId="9">
      <alignment horizontal="right"/>
    </xf>
    <xf numFmtId="49" fontId="23" fillId="32" borderId="9">
      <alignment horizontal="left"/>
    </xf>
    <xf numFmtId="49" fontId="23" fillId="32" borderId="9">
      <alignment horizontal="left" wrapText="1"/>
    </xf>
    <xf numFmtId="18" fontId="23" fillId="32" borderId="9">
      <alignment horizontal="left"/>
    </xf>
    <xf numFmtId="49" fontId="23" fillId="33" borderId="9">
      <alignment horizontal="left"/>
    </xf>
    <xf numFmtId="9" fontId="3" fillId="0" borderId="0" applyFont="0" applyFill="0" applyBorder="0" applyAlignment="0" applyProtection="0"/>
    <xf numFmtId="9" fontId="4" fillId="0" borderId="0" applyFont="0" applyFill="0" applyBorder="0" applyAlignment="0" applyProtection="0"/>
    <xf numFmtId="38" fontId="37" fillId="0" borderId="0" applyFont="0" applyFill="0" applyBorder="0" applyAlignment="0" applyProtection="0"/>
    <xf numFmtId="40" fontId="37" fillId="0" borderId="0" applyFont="0" applyFill="0" applyBorder="0" applyAlignment="0" applyProtection="0"/>
    <xf numFmtId="0" fontId="23" fillId="0" borderId="0"/>
    <xf numFmtId="0" fontId="25" fillId="0" borderId="0">
      <alignment vertical="top"/>
    </xf>
    <xf numFmtId="14" fontId="43" fillId="21" borderId="0" applyNumberFormat="0" applyBorder="0" applyProtection="0">
      <alignment horizontal="center" vertical="center" wrapText="1"/>
    </xf>
    <xf numFmtId="0" fontId="44" fillId="0" borderId="3" applyNumberFormat="0" applyBorder="0" applyProtection="0">
      <alignment vertical="center"/>
    </xf>
    <xf numFmtId="0" fontId="40" fillId="0" borderId="0"/>
    <xf numFmtId="167" fontId="23" fillId="0" borderId="0" applyFont="0" applyFill="0" applyBorder="0" applyAlignment="0" applyProtection="0"/>
    <xf numFmtId="164" fontId="35" fillId="0" borderId="0" applyFont="0" applyFill="0" applyBorder="0" applyAlignment="0" applyProtection="0"/>
    <xf numFmtId="165" fontId="35" fillId="0" borderId="0" applyFont="0" applyFill="0" applyBorder="0" applyAlignment="0" applyProtection="0"/>
    <xf numFmtId="0" fontId="22" fillId="0" borderId="0"/>
    <xf numFmtId="38" fontId="41" fillId="0" borderId="0" applyFont="0" applyFill="0" applyBorder="0" applyAlignment="0" applyProtection="0"/>
    <xf numFmtId="168" fontId="22" fillId="0" borderId="0" applyFont="0" applyFill="0" applyBorder="0" applyAlignment="0" applyProtection="0"/>
    <xf numFmtId="0" fontId="12" fillId="7" borderId="1" applyNumberFormat="0" applyAlignment="0" applyProtection="0"/>
    <xf numFmtId="0" fontId="16" fillId="21" borderId="2" applyNumberFormat="0" applyAlignment="0" applyProtection="0"/>
    <xf numFmtId="0" fontId="20" fillId="16" borderId="0" applyNumberFormat="0" applyBorder="0" applyAlignment="0" applyProtection="0"/>
    <xf numFmtId="0" fontId="20" fillId="17" borderId="0" applyNumberFormat="0" applyBorder="0" applyAlignment="0" applyProtection="0"/>
    <xf numFmtId="0" fontId="20" fillId="18" borderId="0" applyNumberFormat="0" applyBorder="0" applyAlignment="0" applyProtection="0"/>
    <xf numFmtId="0" fontId="20" fillId="13" borderId="0" applyNumberFormat="0" applyBorder="0" applyAlignment="0" applyProtection="0"/>
    <xf numFmtId="0" fontId="20" fillId="14" borderId="0" applyNumberFormat="0" applyBorder="0" applyAlignment="0" applyProtection="0"/>
    <xf numFmtId="0" fontId="20" fillId="19" borderId="0" applyNumberFormat="0" applyBorder="0" applyAlignment="0" applyProtection="0"/>
    <xf numFmtId="0" fontId="13" fillId="20" borderId="10" applyNumberFormat="0" applyAlignment="0" applyProtection="0"/>
    <xf numFmtId="0" fontId="18" fillId="0" borderId="0" applyNumberFormat="0" applyFill="0" applyBorder="0" applyAlignment="0" applyProtection="0"/>
    <xf numFmtId="0" fontId="6" fillId="0" borderId="4" applyNumberFormat="0" applyFill="0" applyAlignment="0" applyProtection="0"/>
    <xf numFmtId="0" fontId="7" fillId="0" borderId="5" applyNumberFormat="0" applyFill="0" applyAlignment="0" applyProtection="0"/>
    <xf numFmtId="0" fontId="8" fillId="0" borderId="6" applyNumberFormat="0" applyFill="0" applyAlignment="0" applyProtection="0"/>
    <xf numFmtId="0" fontId="8" fillId="0" borderId="0" applyNumberFormat="0" applyFill="0" applyBorder="0" applyAlignment="0" applyProtection="0"/>
    <xf numFmtId="0" fontId="10" fillId="3" borderId="0" applyNumberFormat="0" applyBorder="0" applyAlignment="0" applyProtection="0"/>
    <xf numFmtId="0" fontId="9" fillId="4" borderId="0" applyNumberFormat="0" applyBorder="0" applyAlignment="0" applyProtection="0"/>
    <xf numFmtId="0" fontId="21" fillId="0" borderId="0"/>
    <xf numFmtId="0" fontId="4" fillId="0" borderId="0"/>
    <xf numFmtId="0" fontId="4" fillId="0" borderId="0"/>
    <xf numFmtId="191" fontId="4" fillId="0" borderId="0" applyFont="0" applyFill="0" applyBorder="0" applyAlignment="0" applyProtection="0"/>
    <xf numFmtId="191" fontId="4" fillId="0" borderId="0" applyFont="0" applyFill="0" applyBorder="0" applyAlignment="0" applyProtection="0"/>
    <xf numFmtId="192" fontId="41" fillId="0" borderId="0" applyFont="0" applyFill="0" applyBorder="0" applyAlignment="0" applyProtection="0"/>
    <xf numFmtId="193" fontId="41" fillId="0" borderId="0" applyFont="0" applyFill="0" applyBorder="0" applyAlignment="0" applyProtection="0"/>
    <xf numFmtId="0" fontId="11" fillId="23" borderId="0" applyNumberFormat="0" applyBorder="0" applyAlignment="0" applyProtection="0"/>
    <xf numFmtId="0" fontId="17" fillId="0" borderId="0" applyNumberFormat="0" applyFill="0" applyBorder="0" applyAlignment="0" applyProtection="0"/>
    <xf numFmtId="0" fontId="4" fillId="24" borderId="8" applyNumberFormat="0" applyFont="0" applyAlignment="0" applyProtection="0"/>
    <xf numFmtId="0" fontId="15" fillId="0" borderId="7" applyNumberFormat="0" applyFill="0" applyAlignment="0" applyProtection="0"/>
    <xf numFmtId="0" fontId="19" fillId="0" borderId="11" applyNumberFormat="0" applyFill="0" applyAlignment="0" applyProtection="0"/>
    <xf numFmtId="0" fontId="5" fillId="0" borderId="0" applyNumberFormat="0" applyFill="0" applyBorder="0" applyAlignment="0" applyProtection="0"/>
    <xf numFmtId="0" fontId="14" fillId="20" borderId="1" applyNumberFormat="0" applyAlignment="0" applyProtection="0"/>
    <xf numFmtId="9" fontId="4" fillId="0" borderId="0" applyFont="0" applyFill="0" applyBorder="0" applyAlignment="0" applyProtection="0"/>
    <xf numFmtId="0" fontId="2" fillId="0" borderId="0"/>
    <xf numFmtId="9" fontId="2" fillId="0" borderId="0" applyFont="0" applyFill="0" applyBorder="0" applyAlignment="0" applyProtection="0"/>
    <xf numFmtId="0" fontId="59" fillId="0" borderId="0"/>
    <xf numFmtId="9" fontId="59" fillId="0" borderId="0" applyFont="0" applyFill="0" applyBorder="0" applyAlignment="0" applyProtection="0"/>
    <xf numFmtId="0" fontId="2" fillId="0" borderId="0"/>
    <xf numFmtId="9" fontId="2"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43" fontId="66" fillId="0" borderId="0" applyFont="0" applyFill="0" applyBorder="0" applyAlignment="0" applyProtection="0"/>
    <xf numFmtId="0" fontId="68" fillId="0" borderId="0"/>
    <xf numFmtId="0" fontId="71" fillId="2" borderId="0" applyNumberFormat="0" applyBorder="0" applyAlignment="0" applyProtection="0"/>
    <xf numFmtId="0" fontId="71" fillId="7" borderId="0" applyNumberFormat="0" applyBorder="0" applyAlignment="0" applyProtection="0"/>
    <xf numFmtId="0" fontId="71" fillId="24" borderId="0" applyNumberFormat="0" applyBorder="0" applyAlignment="0" applyProtection="0"/>
    <xf numFmtId="0" fontId="71" fillId="38" borderId="0" applyNumberFormat="0" applyBorder="0" applyAlignment="0" applyProtection="0"/>
    <xf numFmtId="0" fontId="71" fillId="2" borderId="0" applyNumberFormat="0" applyBorder="0" applyAlignment="0" applyProtection="0"/>
    <xf numFmtId="0" fontId="71" fillId="7" borderId="0" applyNumberFormat="0" applyBorder="0" applyAlignment="0" applyProtection="0"/>
    <xf numFmtId="0" fontId="71" fillId="39" borderId="0" applyNumberFormat="0" applyBorder="0" applyAlignment="0" applyProtection="0"/>
    <xf numFmtId="0" fontId="71" fillId="7" borderId="0" applyNumberFormat="0" applyBorder="0" applyAlignment="0" applyProtection="0"/>
    <xf numFmtId="0" fontId="71" fillId="23" borderId="0" applyNumberFormat="0" applyBorder="0" applyAlignment="0" applyProtection="0"/>
    <xf numFmtId="0" fontId="71" fillId="20" borderId="0" applyNumberFormat="0" applyBorder="0" applyAlignment="0" applyProtection="0"/>
    <xf numFmtId="0" fontId="71" fillId="39" borderId="0" applyNumberFormat="0" applyBorder="0" applyAlignment="0" applyProtection="0"/>
    <xf numFmtId="0" fontId="71" fillId="7" borderId="0" applyNumberFormat="0" applyBorder="0" applyAlignment="0" applyProtection="0"/>
    <xf numFmtId="0" fontId="72" fillId="39" borderId="0" applyNumberFormat="0" applyBorder="0" applyAlignment="0" applyProtection="0"/>
    <xf numFmtId="0" fontId="72" fillId="7" borderId="0" applyNumberFormat="0" applyBorder="0" applyAlignment="0" applyProtection="0"/>
    <xf numFmtId="0" fontId="72" fillId="23" borderId="0" applyNumberFormat="0" applyBorder="0" applyAlignment="0" applyProtection="0"/>
    <xf numFmtId="0" fontId="72" fillId="20" borderId="0" applyNumberFormat="0" applyBorder="0" applyAlignment="0" applyProtection="0"/>
    <xf numFmtId="0" fontId="72" fillId="39" borderId="0" applyNumberFormat="0" applyBorder="0" applyAlignment="0" applyProtection="0"/>
    <xf numFmtId="0" fontId="72" fillId="7" borderId="0" applyNumberFormat="0" applyBorder="0" applyAlignment="0" applyProtection="0"/>
    <xf numFmtId="0" fontId="72" fillId="14" borderId="0" applyNumberFormat="0" applyBorder="0" applyAlignment="0" applyProtection="0"/>
    <xf numFmtId="0" fontId="72" fillId="17" borderId="0" applyNumberFormat="0" applyBorder="0" applyAlignment="0" applyProtection="0"/>
    <xf numFmtId="0" fontId="72" fillId="40" borderId="0" applyNumberFormat="0" applyBorder="0" applyAlignment="0" applyProtection="0"/>
    <xf numFmtId="0" fontId="72" fillId="41" borderId="0" applyNumberFormat="0" applyBorder="0" applyAlignment="0" applyProtection="0"/>
    <xf numFmtId="0" fontId="72" fillId="14" borderId="0" applyNumberFormat="0" applyBorder="0" applyAlignment="0" applyProtection="0"/>
    <xf numFmtId="0" fontId="72" fillId="19" borderId="0" applyNumberFormat="0" applyBorder="0" applyAlignment="0" applyProtection="0"/>
    <xf numFmtId="0" fontId="73" fillId="4" borderId="0" applyNumberFormat="0" applyBorder="0" applyAlignment="0" applyProtection="0"/>
    <xf numFmtId="0" fontId="74" fillId="2" borderId="1" applyNumberFormat="0" applyAlignment="0" applyProtection="0"/>
    <xf numFmtId="0" fontId="75" fillId="21" borderId="2" applyNumberFormat="0" applyAlignment="0" applyProtection="0"/>
    <xf numFmtId="0" fontId="76" fillId="0" borderId="7" applyNumberFormat="0" applyFill="0" applyAlignment="0" applyProtection="0"/>
    <xf numFmtId="197" fontId="69" fillId="0" borderId="0" applyFont="0" applyFill="0" applyBorder="0" applyAlignment="0" applyProtection="0"/>
    <xf numFmtId="0" fontId="77" fillId="3" borderId="0" applyNumberFormat="0" applyBorder="0" applyAlignment="0" applyProtection="0"/>
    <xf numFmtId="43" fontId="30" fillId="0" borderId="0" applyFont="0" applyFill="0" applyBorder="0" applyAlignment="0" applyProtection="0"/>
    <xf numFmtId="167" fontId="30" fillId="0" borderId="0" applyFont="0" applyFill="0" applyBorder="0" applyAlignment="0" applyProtection="0"/>
    <xf numFmtId="0" fontId="70" fillId="0" borderId="0"/>
    <xf numFmtId="0" fontId="68" fillId="0" borderId="0"/>
    <xf numFmtId="0" fontId="68" fillId="0" borderId="0"/>
    <xf numFmtId="0" fontId="68" fillId="0" borderId="0"/>
    <xf numFmtId="0" fontId="68" fillId="0" borderId="0"/>
    <xf numFmtId="0" fontId="30" fillId="0" borderId="0"/>
    <xf numFmtId="0" fontId="68" fillId="0" borderId="0"/>
    <xf numFmtId="0" fontId="68" fillId="0" borderId="0"/>
    <xf numFmtId="0" fontId="68" fillId="0" borderId="0"/>
    <xf numFmtId="0" fontId="68" fillId="0" borderId="0"/>
    <xf numFmtId="0" fontId="68" fillId="0" borderId="0"/>
    <xf numFmtId="0" fontId="30" fillId="0" borderId="0"/>
    <xf numFmtId="0" fontId="68" fillId="0" borderId="0"/>
    <xf numFmtId="0" fontId="68" fillId="0" borderId="0"/>
    <xf numFmtId="0" fontId="30" fillId="0" borderId="0"/>
    <xf numFmtId="0" fontId="30" fillId="0" borderId="0"/>
    <xf numFmtId="0" fontId="1" fillId="0" borderId="0"/>
    <xf numFmtId="0" fontId="30" fillId="0" borderId="0"/>
    <xf numFmtId="0" fontId="30" fillId="0" borderId="0"/>
    <xf numFmtId="0" fontId="78" fillId="0" borderId="0"/>
    <xf numFmtId="0" fontId="68" fillId="0" borderId="0"/>
    <xf numFmtId="0" fontId="1" fillId="0" borderId="0"/>
    <xf numFmtId="0" fontId="68"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69" fillId="0" borderId="0"/>
    <xf numFmtId="0" fontId="68" fillId="0" borderId="0"/>
    <xf numFmtId="0" fontId="68" fillId="0" borderId="0"/>
    <xf numFmtId="0" fontId="68" fillId="0" borderId="0"/>
    <xf numFmtId="0" fontId="68" fillId="0" borderId="0"/>
    <xf numFmtId="0" fontId="68" fillId="0" borderId="0"/>
    <xf numFmtId="0" fontId="30" fillId="0" borderId="0"/>
    <xf numFmtId="0" fontId="68" fillId="0" borderId="0"/>
    <xf numFmtId="0" fontId="68" fillId="0" borderId="0"/>
    <xf numFmtId="0" fontId="68" fillId="0" borderId="0"/>
    <xf numFmtId="0" fontId="68" fillId="0" borderId="0"/>
    <xf numFmtId="0" fontId="30" fillId="24" borderId="8" applyNumberFormat="0" applyFont="0" applyAlignment="0" applyProtection="0"/>
    <xf numFmtId="9" fontId="68" fillId="0" borderId="0" applyFont="0" applyFill="0" applyBorder="0" applyAlignment="0" applyProtection="0"/>
    <xf numFmtId="9" fontId="68" fillId="0" borderId="0" applyFont="0" applyFill="0" applyBorder="0" applyAlignment="0" applyProtection="0"/>
    <xf numFmtId="9" fontId="68" fillId="0" borderId="0" applyFont="0" applyFill="0" applyBorder="0" applyAlignment="0" applyProtection="0"/>
    <xf numFmtId="9" fontId="68" fillId="0" borderId="0" applyFont="0" applyFill="0" applyBorder="0" applyAlignment="0" applyProtection="0"/>
    <xf numFmtId="9" fontId="30" fillId="0" borderId="0" applyFont="0" applyFill="0" applyBorder="0" applyAlignment="0" applyProtection="0"/>
    <xf numFmtId="9" fontId="68" fillId="0" borderId="0" applyFont="0" applyFill="0" applyBorder="0" applyAlignment="0" applyProtection="0"/>
    <xf numFmtId="9" fontId="68" fillId="0" borderId="0" applyFont="0" applyFill="0" applyBorder="0" applyAlignment="0" applyProtection="0"/>
    <xf numFmtId="9" fontId="68" fillId="0" borderId="0" applyFont="0" applyFill="0" applyBorder="0" applyAlignment="0" applyProtection="0"/>
    <xf numFmtId="9" fontId="68" fillId="0" borderId="0" applyFont="0" applyFill="0" applyBorder="0" applyAlignment="0" applyProtection="0"/>
    <xf numFmtId="9" fontId="68" fillId="0" borderId="0" applyFont="0" applyFill="0" applyBorder="0" applyAlignment="0" applyProtection="0"/>
    <xf numFmtId="9" fontId="68" fillId="0" borderId="0" applyFont="0" applyFill="0" applyBorder="0" applyAlignment="0" applyProtection="0"/>
    <xf numFmtId="9" fontId="68" fillId="0" borderId="0" applyFont="0" applyFill="0" applyBorder="0" applyAlignment="0" applyProtection="0"/>
    <xf numFmtId="9" fontId="68" fillId="0" borderId="0" applyFont="0" applyFill="0" applyBorder="0" applyAlignment="0" applyProtection="0"/>
    <xf numFmtId="9" fontId="68" fillId="0" borderId="0" applyFont="0" applyFill="0" applyBorder="0" applyAlignment="0" applyProtection="0"/>
    <xf numFmtId="9" fontId="68" fillId="0" borderId="0" applyFont="0" applyFill="0" applyBorder="0" applyAlignment="0" applyProtection="0"/>
    <xf numFmtId="9" fontId="68" fillId="0" borderId="0" applyFont="0" applyFill="0" applyBorder="0" applyAlignment="0" applyProtection="0"/>
    <xf numFmtId="0" fontId="79" fillId="2" borderId="10" applyNumberFormat="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2" fillId="0" borderId="0" applyNumberFormat="0" applyFill="0" applyBorder="0" applyAlignment="0" applyProtection="0"/>
    <xf numFmtId="0" fontId="83" fillId="0" borderId="16" applyNumberFormat="0" applyFill="0" applyAlignment="0" applyProtection="0"/>
    <xf numFmtId="0" fontId="84" fillId="0" borderId="17" applyNumberFormat="0" applyFill="0" applyAlignment="0" applyProtection="0"/>
    <xf numFmtId="0" fontId="85" fillId="0" borderId="18" applyNumberFormat="0" applyFill="0" applyAlignment="0" applyProtection="0"/>
    <xf numFmtId="0" fontId="85" fillId="0" borderId="0" applyNumberFormat="0" applyFill="0" applyBorder="0" applyAlignment="0" applyProtection="0"/>
    <xf numFmtId="0" fontId="69" fillId="0" borderId="0"/>
    <xf numFmtId="0" fontId="68" fillId="0" borderId="0"/>
    <xf numFmtId="0" fontId="86" fillId="0" borderId="0" applyNumberFormat="0" applyFill="0" applyBorder="0" applyAlignment="0" applyProtection="0">
      <alignment vertical="top"/>
      <protection locked="0"/>
    </xf>
    <xf numFmtId="0" fontId="87" fillId="42" borderId="0" applyNumberFormat="0" applyBorder="0" applyAlignment="0" applyProtection="0"/>
    <xf numFmtId="0" fontId="87" fillId="7" borderId="0" applyNumberFormat="0" applyBorder="0" applyAlignment="0" applyProtection="0"/>
    <xf numFmtId="0" fontId="87" fillId="24" borderId="0" applyNumberFormat="0" applyBorder="0" applyAlignment="0" applyProtection="0"/>
    <xf numFmtId="0" fontId="87" fillId="42" borderId="0" applyNumberFormat="0" applyBorder="0" applyAlignment="0" applyProtection="0"/>
    <xf numFmtId="0" fontId="87" fillId="6" borderId="0" applyNumberFormat="0" applyBorder="0" applyAlignment="0" applyProtection="0"/>
    <xf numFmtId="0" fontId="87" fillId="7" borderId="0" applyNumberFormat="0" applyBorder="0" applyAlignment="0" applyProtection="0"/>
    <xf numFmtId="0" fontId="87" fillId="20" borderId="0" applyNumberFormat="0" applyBorder="0" applyAlignment="0" applyProtection="0"/>
    <xf numFmtId="0" fontId="87" fillId="9" borderId="0" applyNumberFormat="0" applyBorder="0" applyAlignment="0" applyProtection="0"/>
    <xf numFmtId="0" fontId="87" fillId="23" borderId="0" applyNumberFormat="0" applyBorder="0" applyAlignment="0" applyProtection="0"/>
    <xf numFmtId="0" fontId="87" fillId="20" borderId="0" applyNumberFormat="0" applyBorder="0" applyAlignment="0" applyProtection="0"/>
    <xf numFmtId="0" fontId="87" fillId="43" borderId="0" applyNumberFormat="0" applyBorder="0" applyAlignment="0" applyProtection="0"/>
    <xf numFmtId="0" fontId="87" fillId="7" borderId="0" applyNumberFormat="0" applyBorder="0" applyAlignment="0" applyProtection="0"/>
    <xf numFmtId="0" fontId="88" fillId="43" borderId="0" applyNumberFormat="0" applyBorder="0" applyAlignment="0" applyProtection="0"/>
    <xf numFmtId="0" fontId="88" fillId="44" borderId="0" applyNumberFormat="0" applyBorder="0" applyAlignment="0" applyProtection="0"/>
    <xf numFmtId="0" fontId="88" fillId="23" borderId="0" applyNumberFormat="0" applyBorder="0" applyAlignment="0" applyProtection="0"/>
    <xf numFmtId="0" fontId="88" fillId="20" borderId="0" applyNumberFormat="0" applyBorder="0" applyAlignment="0" applyProtection="0"/>
    <xf numFmtId="0" fontId="88" fillId="43" borderId="0" applyNumberFormat="0" applyBorder="0" applyAlignment="0" applyProtection="0"/>
    <xf numFmtId="0" fontId="88" fillId="7" borderId="0" applyNumberFormat="0" applyBorder="0" applyAlignment="0" applyProtection="0"/>
    <xf numFmtId="0" fontId="89" fillId="4" borderId="0" applyNumberFormat="0" applyBorder="0" applyAlignment="0" applyProtection="0"/>
    <xf numFmtId="0" fontId="90" fillId="42" borderId="1" applyNumberFormat="0" applyAlignment="0" applyProtection="0"/>
    <xf numFmtId="0" fontId="91" fillId="38" borderId="19" applyNumberFormat="0" applyAlignment="0" applyProtection="0"/>
    <xf numFmtId="0" fontId="92" fillId="0" borderId="7" applyNumberFormat="0" applyFill="0" applyAlignment="0" applyProtection="0"/>
    <xf numFmtId="0" fontId="93" fillId="0" borderId="0" applyNumberFormat="0" applyFill="0" applyBorder="0" applyAlignment="0" applyProtection="0"/>
    <xf numFmtId="0" fontId="88" fillId="14" borderId="0" applyNumberFormat="0" applyBorder="0" applyAlignment="0" applyProtection="0"/>
    <xf numFmtId="0" fontId="88" fillId="44" borderId="0" applyNumberFormat="0" applyBorder="0" applyAlignment="0" applyProtection="0"/>
    <xf numFmtId="0" fontId="88" fillId="16" borderId="0" applyNumberFormat="0" applyBorder="0" applyAlignment="0" applyProtection="0"/>
    <xf numFmtId="0" fontId="88" fillId="41" borderId="0" applyNumberFormat="0" applyBorder="0" applyAlignment="0" applyProtection="0"/>
    <xf numFmtId="0" fontId="88" fillId="14" borderId="0" applyNumberFormat="0" applyBorder="0" applyAlignment="0" applyProtection="0"/>
    <xf numFmtId="0" fontId="88" fillId="44" borderId="0" applyNumberFormat="0" applyBorder="0" applyAlignment="0" applyProtection="0"/>
    <xf numFmtId="0" fontId="94" fillId="7" borderId="1" applyNumberFormat="0" applyAlignment="0" applyProtection="0"/>
    <xf numFmtId="0" fontId="95" fillId="3" borderId="0" applyNumberFormat="0" applyBorder="0" applyAlignment="0" applyProtection="0"/>
    <xf numFmtId="0" fontId="96" fillId="23" borderId="0" applyNumberFormat="0" applyBorder="0" applyAlignment="0" applyProtection="0"/>
    <xf numFmtId="0" fontId="30" fillId="24" borderId="8" applyNumberFormat="0" applyFont="0" applyAlignment="0" applyProtection="0"/>
    <xf numFmtId="0" fontId="97" fillId="42" borderId="20" applyNumberFormat="0" applyAlignment="0" applyProtection="0"/>
    <xf numFmtId="0" fontId="98" fillId="0" borderId="0" applyNumberFormat="0" applyFill="0" applyBorder="0" applyAlignment="0" applyProtection="0"/>
    <xf numFmtId="0" fontId="99" fillId="0" borderId="0" applyNumberFormat="0" applyFill="0" applyBorder="0" applyAlignment="0" applyProtection="0"/>
    <xf numFmtId="0" fontId="100" fillId="0" borderId="16" applyNumberFormat="0" applyFill="0" applyAlignment="0" applyProtection="0"/>
    <xf numFmtId="0" fontId="101" fillId="0" borderId="21" applyNumberFormat="0" applyFill="0" applyAlignment="0" applyProtection="0"/>
    <xf numFmtId="0" fontId="93" fillId="0" borderId="22" applyNumberFormat="0" applyFill="0" applyAlignment="0" applyProtection="0"/>
    <xf numFmtId="0" fontId="102" fillId="0" borderId="0" applyNumberFormat="0" applyFill="0" applyBorder="0" applyAlignment="0" applyProtection="0"/>
    <xf numFmtId="0" fontId="103" fillId="0" borderId="23" applyNumberFormat="0" applyFill="0" applyAlignment="0" applyProtection="0"/>
    <xf numFmtId="0" fontId="68" fillId="0" borderId="0"/>
    <xf numFmtId="0" fontId="30" fillId="0" borderId="0"/>
    <xf numFmtId="0" fontId="1" fillId="0" borderId="0"/>
    <xf numFmtId="9" fontId="104" fillId="0" borderId="0" applyFont="0" applyFill="0" applyBorder="0" applyAlignment="0" applyProtection="0"/>
    <xf numFmtId="0" fontId="68" fillId="0" borderId="0"/>
    <xf numFmtId="9" fontId="68" fillId="0" borderId="0" applyFont="0" applyFill="0" applyBorder="0" applyAlignment="0" applyProtection="0"/>
    <xf numFmtId="9" fontId="68" fillId="0" borderId="0" applyFont="0" applyFill="0" applyBorder="0" applyAlignment="0" applyProtection="0"/>
    <xf numFmtId="0" fontId="68" fillId="0" borderId="0"/>
    <xf numFmtId="0" fontId="68" fillId="0" borderId="0"/>
    <xf numFmtId="9" fontId="68" fillId="0" borderId="0" applyFont="0" applyFill="0" applyBorder="0" applyAlignment="0" applyProtection="0"/>
    <xf numFmtId="0" fontId="68" fillId="0" borderId="0"/>
    <xf numFmtId="9" fontId="68" fillId="0" borderId="0" applyFont="0" applyFill="0" applyBorder="0" applyAlignment="0" applyProtection="0"/>
    <xf numFmtId="9" fontId="68" fillId="0" borderId="0" applyFont="0" applyFill="0" applyBorder="0" applyAlignment="0" applyProtection="0"/>
    <xf numFmtId="0" fontId="1" fillId="0" borderId="0"/>
    <xf numFmtId="0" fontId="74" fillId="2" borderId="24" applyNumberFormat="0" applyAlignment="0" applyProtection="0"/>
    <xf numFmtId="0" fontId="30" fillId="24" borderId="25" applyNumberFormat="0" applyFont="0" applyAlignment="0" applyProtection="0"/>
    <xf numFmtId="0" fontId="79" fillId="2" borderId="26" applyNumberFormat="0" applyAlignment="0" applyProtection="0"/>
    <xf numFmtId="0" fontId="90" fillId="42" borderId="24" applyNumberFormat="0" applyAlignment="0" applyProtection="0"/>
    <xf numFmtId="0" fontId="94" fillId="7" borderId="24" applyNumberFormat="0" applyAlignment="0" applyProtection="0"/>
    <xf numFmtId="0" fontId="30" fillId="24" borderId="25" applyNumberFormat="0" applyFont="0" applyAlignment="0" applyProtection="0"/>
    <xf numFmtId="0" fontId="97" fillId="42" borderId="27" applyNumberFormat="0" applyAlignment="0" applyProtection="0"/>
    <xf numFmtId="0" fontId="103" fillId="0" borderId="28" applyNumberFormat="0" applyFill="0" applyAlignment="0" applyProtection="0"/>
    <xf numFmtId="43" fontId="3" fillId="0" borderId="0" applyFont="0" applyFill="0" applyBorder="0" applyAlignment="0" applyProtection="0"/>
  </cellStyleXfs>
  <cellXfs count="1071">
    <xf numFmtId="0" fontId="0" fillId="0" borderId="0" xfId="0"/>
    <xf numFmtId="3" fontId="45" fillId="0" borderId="0" xfId="0" applyNumberFormat="1" applyFont="1" applyAlignment="1">
      <alignment horizontal="center" vertical="center"/>
    </xf>
    <xf numFmtId="0" fontId="47" fillId="0" borderId="0" xfId="0" applyFont="1"/>
    <xf numFmtId="0" fontId="45" fillId="0" borderId="0" xfId="0" applyFont="1"/>
    <xf numFmtId="0" fontId="54" fillId="0" borderId="0" xfId="0" applyFont="1"/>
    <xf numFmtId="3" fontId="45" fillId="0" borderId="0" xfId="0" applyNumberFormat="1" applyFont="1"/>
    <xf numFmtId="0" fontId="45" fillId="0" borderId="0" xfId="0" applyFont="1" applyAlignment="1">
      <alignment vertical="center"/>
    </xf>
    <xf numFmtId="0" fontId="45" fillId="0" borderId="0" xfId="0" applyFont="1" applyAlignment="1">
      <alignment horizontal="center" vertical="center"/>
    </xf>
    <xf numFmtId="0" fontId="52" fillId="0" borderId="0" xfId="39" applyFont="1" applyBorder="1" applyAlignment="1" applyProtection="1">
      <alignment horizontal="right" vertical="center"/>
    </xf>
    <xf numFmtId="0" fontId="46" fillId="0" borderId="0" xfId="0" applyFont="1" applyAlignment="1">
      <alignment vertical="center"/>
    </xf>
    <xf numFmtId="0" fontId="47" fillId="0" borderId="0" xfId="0" applyFont="1" applyAlignment="1">
      <alignment vertical="center"/>
    </xf>
    <xf numFmtId="0" fontId="50" fillId="0" borderId="0" xfId="0" applyFont="1" applyAlignment="1">
      <alignment vertical="center"/>
    </xf>
    <xf numFmtId="0" fontId="0" fillId="0" borderId="0" xfId="0" applyAlignment="1">
      <alignment vertical="center"/>
    </xf>
    <xf numFmtId="0" fontId="57" fillId="0" borderId="0" xfId="0" applyFont="1" applyAlignment="1">
      <alignment vertical="center"/>
    </xf>
    <xf numFmtId="0" fontId="63" fillId="0" borderId="0" xfId="0" applyFont="1" applyAlignment="1">
      <alignment horizontal="center" vertical="center" wrapText="1"/>
    </xf>
    <xf numFmtId="9" fontId="47" fillId="0" borderId="0" xfId="132" applyFont="1" applyAlignment="1">
      <alignment horizontal="left" vertical="center"/>
    </xf>
    <xf numFmtId="0" fontId="53" fillId="0" borderId="0" xfId="184" applyFont="1" applyAlignment="1">
      <alignment vertical="center"/>
    </xf>
    <xf numFmtId="0" fontId="56" fillId="0" borderId="0" xfId="184" applyFont="1" applyAlignment="1">
      <alignment vertical="center"/>
    </xf>
    <xf numFmtId="0" fontId="53" fillId="0" borderId="0" xfId="184" applyFont="1" applyAlignment="1">
      <alignment horizontal="center" vertical="center"/>
    </xf>
    <xf numFmtId="0" fontId="47" fillId="0" borderId="0" xfId="184" applyFont="1" applyAlignment="1">
      <alignment horizontal="left" vertical="center"/>
    </xf>
    <xf numFmtId="0" fontId="56" fillId="0" borderId="0" xfId="184" applyFont="1"/>
    <xf numFmtId="0" fontId="55" fillId="0" borderId="0" xfId="184" applyFont="1" applyAlignment="1">
      <alignment horizontal="center" vertical="center"/>
    </xf>
    <xf numFmtId="174" fontId="56" fillId="0" borderId="0" xfId="184" applyNumberFormat="1" applyFont="1"/>
    <xf numFmtId="0" fontId="45" fillId="0" borderId="0" xfId="186" applyFont="1"/>
    <xf numFmtId="0" fontId="47" fillId="0" borderId="0" xfId="186" applyFont="1"/>
    <xf numFmtId="0" fontId="46" fillId="0" borderId="0" xfId="186" applyFont="1"/>
    <xf numFmtId="0" fontId="50" fillId="0" borderId="0" xfId="186" applyFont="1"/>
    <xf numFmtId="0" fontId="64" fillId="0" borderId="0" xfId="186" applyFont="1"/>
    <xf numFmtId="0" fontId="51" fillId="0" borderId="0" xfId="184" applyFont="1" applyAlignment="1">
      <alignment vertical="center"/>
    </xf>
    <xf numFmtId="0" fontId="64" fillId="0" borderId="0" xfId="184" applyFont="1"/>
    <xf numFmtId="0" fontId="65" fillId="0" borderId="0" xfId="186" applyFont="1"/>
    <xf numFmtId="0" fontId="64" fillId="0" borderId="0" xfId="184" applyFont="1" applyAlignment="1">
      <alignment horizontal="left" vertical="center"/>
    </xf>
    <xf numFmtId="0" fontId="62" fillId="0" borderId="0" xfId="0" applyFont="1" applyAlignment="1">
      <alignment horizontal="center" vertical="center" wrapText="1"/>
    </xf>
    <xf numFmtId="0" fontId="45" fillId="34" borderId="0" xfId="0" applyFont="1" applyFill="1" applyAlignment="1">
      <alignment vertical="center"/>
    </xf>
    <xf numFmtId="0" fontId="56" fillId="34" borderId="0" xfId="184" applyFont="1" applyFill="1" applyAlignment="1">
      <alignment vertical="center"/>
    </xf>
    <xf numFmtId="0" fontId="46" fillId="34" borderId="0" xfId="0" applyFont="1" applyFill="1" applyAlignment="1">
      <alignment vertical="center"/>
    </xf>
    <xf numFmtId="0" fontId="60" fillId="0" borderId="0" xfId="0" applyFont="1" applyAlignment="1">
      <alignment horizontal="left" vertical="top" wrapText="1"/>
    </xf>
    <xf numFmtId="0" fontId="55" fillId="0" borderId="0" xfId="0" applyFont="1" applyAlignment="1">
      <alignment horizontal="left" vertical="top" wrapText="1"/>
    </xf>
    <xf numFmtId="9" fontId="46" fillId="0" borderId="0" xfId="132" applyFont="1" applyBorder="1" applyAlignment="1">
      <alignment vertical="center"/>
    </xf>
    <xf numFmtId="3" fontId="46" fillId="0" borderId="0" xfId="0" applyNumberFormat="1" applyFont="1" applyAlignment="1">
      <alignment vertical="center"/>
    </xf>
    <xf numFmtId="1" fontId="46" fillId="0" borderId="0" xfId="0" applyNumberFormat="1" applyFont="1" applyAlignment="1">
      <alignment vertical="center"/>
    </xf>
    <xf numFmtId="10" fontId="47" fillId="0" borderId="0" xfId="132" applyNumberFormat="1" applyFont="1" applyFill="1" applyAlignment="1">
      <alignment horizontal="left" vertical="center"/>
    </xf>
    <xf numFmtId="0" fontId="67" fillId="0" borderId="0" xfId="0" applyFont="1" applyAlignment="1">
      <alignment horizontal="left" vertical="center" wrapText="1"/>
    </xf>
    <xf numFmtId="0" fontId="58" fillId="0" borderId="0" xfId="0" applyFont="1" applyAlignment="1">
      <alignment horizontal="left" vertical="center" wrapText="1"/>
    </xf>
    <xf numFmtId="1" fontId="46" fillId="34" borderId="0" xfId="132" applyNumberFormat="1" applyFont="1" applyFill="1" applyBorder="1" applyAlignment="1">
      <alignment horizontal="center" vertical="center" wrapText="1"/>
    </xf>
    <xf numFmtId="198" fontId="56" fillId="0" borderId="0" xfId="184" applyNumberFormat="1" applyFont="1" applyAlignment="1">
      <alignment horizontal="center"/>
    </xf>
    <xf numFmtId="199" fontId="48" fillId="0" borderId="0" xfId="0" applyNumberFormat="1" applyFont="1" applyAlignment="1">
      <alignment horizontal="center"/>
    </xf>
    <xf numFmtId="194" fontId="47" fillId="0" borderId="0" xfId="187" applyNumberFormat="1" applyFont="1" applyFill="1"/>
    <xf numFmtId="3" fontId="46" fillId="0" borderId="0" xfId="186" applyNumberFormat="1" applyFont="1"/>
    <xf numFmtId="3" fontId="45" fillId="0" borderId="0" xfId="0" applyNumberFormat="1" applyFont="1" applyAlignment="1">
      <alignment vertical="center"/>
    </xf>
    <xf numFmtId="200" fontId="46" fillId="0" borderId="0" xfId="0" applyNumberFormat="1" applyFont="1" applyAlignment="1">
      <alignment vertical="center"/>
    </xf>
    <xf numFmtId="170" fontId="46" fillId="0" borderId="0" xfId="0" applyNumberFormat="1" applyFont="1" applyAlignment="1">
      <alignment vertical="center"/>
    </xf>
    <xf numFmtId="9" fontId="46" fillId="0" borderId="0" xfId="132" applyFont="1" applyBorder="1"/>
    <xf numFmtId="170" fontId="50" fillId="0" borderId="0" xfId="184" applyNumberFormat="1" applyFont="1" applyAlignment="1">
      <alignment vertical="center"/>
    </xf>
    <xf numFmtId="0" fontId="47" fillId="0" borderId="0" xfId="0" applyFont="1" applyAlignment="1">
      <alignment horizontal="right"/>
    </xf>
    <xf numFmtId="9" fontId="47" fillId="0" borderId="0" xfId="0" applyNumberFormat="1" applyFont="1" applyAlignment="1">
      <alignment horizontal="right"/>
    </xf>
    <xf numFmtId="0" fontId="54" fillId="0" borderId="0" xfId="0" applyFont="1" applyAlignment="1">
      <alignment horizontal="right"/>
    </xf>
    <xf numFmtId="3" fontId="47" fillId="0" borderId="0" xfId="184" applyNumberFormat="1" applyFont="1" applyAlignment="1">
      <alignment horizontal="left" vertical="center"/>
    </xf>
    <xf numFmtId="171" fontId="46" fillId="0" borderId="0" xfId="0" applyNumberFormat="1" applyFont="1" applyAlignment="1">
      <alignment vertical="center"/>
    </xf>
    <xf numFmtId="0" fontId="61" fillId="0" borderId="0" xfId="184" applyFont="1" applyAlignment="1">
      <alignment horizontal="left" vertical="center"/>
    </xf>
    <xf numFmtId="1" fontId="106" fillId="0" borderId="0" xfId="0" applyNumberFormat="1" applyFont="1" applyAlignment="1">
      <alignment vertical="center"/>
    </xf>
    <xf numFmtId="4" fontId="46" fillId="0" borderId="0" xfId="186" applyNumberFormat="1" applyFont="1"/>
    <xf numFmtId="1" fontId="55" fillId="0" borderId="0" xfId="0" applyNumberFormat="1" applyFont="1" applyAlignment="1">
      <alignment horizontal="left" vertical="top" wrapText="1"/>
    </xf>
    <xf numFmtId="3" fontId="47" fillId="0" borderId="0" xfId="0" applyNumberFormat="1" applyFont="1"/>
    <xf numFmtId="1" fontId="45" fillId="0" borderId="0" xfId="186" applyNumberFormat="1" applyFont="1"/>
    <xf numFmtId="1" fontId="46" fillId="0" borderId="0" xfId="186" applyNumberFormat="1" applyFont="1"/>
    <xf numFmtId="195" fontId="56" fillId="0" borderId="0" xfId="184" applyNumberFormat="1" applyFont="1"/>
    <xf numFmtId="196" fontId="56" fillId="0" borderId="0" xfId="184" applyNumberFormat="1" applyFont="1"/>
    <xf numFmtId="199" fontId="46" fillId="0" borderId="0" xfId="0" applyNumberFormat="1" applyFont="1" applyAlignment="1">
      <alignment vertical="center"/>
    </xf>
    <xf numFmtId="194" fontId="46" fillId="0" borderId="0" xfId="187" applyNumberFormat="1" applyFont="1" applyBorder="1" applyAlignment="1">
      <alignment vertical="center"/>
    </xf>
    <xf numFmtId="194" fontId="46" fillId="0" borderId="0" xfId="0" applyNumberFormat="1" applyFont="1" applyAlignment="1">
      <alignment vertical="center"/>
    </xf>
    <xf numFmtId="3" fontId="56" fillId="0" borderId="0" xfId="184" applyNumberFormat="1" applyFont="1" applyAlignment="1">
      <alignment vertical="center"/>
    </xf>
    <xf numFmtId="9" fontId="106" fillId="0" borderId="0" xfId="132" applyFont="1" applyAlignment="1" applyProtection="1">
      <alignment vertical="center"/>
    </xf>
    <xf numFmtId="9" fontId="56" fillId="0" borderId="0" xfId="132" applyFont="1" applyFill="1" applyAlignment="1" applyProtection="1">
      <alignment vertical="center"/>
    </xf>
    <xf numFmtId="194" fontId="46" fillId="0" borderId="0" xfId="187" applyNumberFormat="1" applyFont="1" applyBorder="1"/>
    <xf numFmtId="43" fontId="46" fillId="0" borderId="0" xfId="186" applyNumberFormat="1" applyFont="1"/>
    <xf numFmtId="170" fontId="46" fillId="0" borderId="0" xfId="186" applyNumberFormat="1" applyFont="1"/>
    <xf numFmtId="9" fontId="106" fillId="0" borderId="0" xfId="132" applyFont="1" applyProtection="1"/>
    <xf numFmtId="194" fontId="45" fillId="0" borderId="0" xfId="187" applyNumberFormat="1" applyFont="1" applyFill="1" applyBorder="1" applyAlignment="1"/>
    <xf numFmtId="201" fontId="45" fillId="0" borderId="0" xfId="187" applyNumberFormat="1" applyFont="1" applyFill="1" applyBorder="1" applyAlignment="1"/>
    <xf numFmtId="43" fontId="45" fillId="0" borderId="0" xfId="0" applyNumberFormat="1" applyFont="1"/>
    <xf numFmtId="3" fontId="61" fillId="0" borderId="0" xfId="184" applyNumberFormat="1" applyFont="1" applyAlignment="1">
      <alignment horizontal="left" vertical="center"/>
    </xf>
    <xf numFmtId="3" fontId="54" fillId="0" borderId="0" xfId="0" applyNumberFormat="1" applyFont="1"/>
    <xf numFmtId="0" fontId="60" fillId="0" borderId="0" xfId="0" applyFont="1" applyAlignment="1">
      <alignment horizontal="left" vertical="top"/>
    </xf>
    <xf numFmtId="0" fontId="107" fillId="0" borderId="0" xfId="186" applyFont="1"/>
    <xf numFmtId="0" fontId="108" fillId="0" borderId="0" xfId="186" applyFont="1"/>
    <xf numFmtId="0" fontId="108" fillId="0" borderId="0" xfId="184" applyFont="1"/>
    <xf numFmtId="0" fontId="109" fillId="0" borderId="0" xfId="186" applyFont="1"/>
    <xf numFmtId="3" fontId="109" fillId="0" borderId="0" xfId="186" applyNumberFormat="1" applyFont="1"/>
    <xf numFmtId="0" fontId="108" fillId="0" borderId="0" xfId="184" applyFont="1" applyAlignment="1">
      <alignment horizontal="left" vertical="center"/>
    </xf>
    <xf numFmtId="9" fontId="108" fillId="0" borderId="0" xfId="132" applyFont="1" applyProtection="1"/>
    <xf numFmtId="9" fontId="110" fillId="0" borderId="0" xfId="132" applyFont="1" applyProtection="1"/>
    <xf numFmtId="3" fontId="62" fillId="0" borderId="0" xfId="0" applyNumberFormat="1" applyFont="1" applyAlignment="1">
      <alignment horizontal="center" vertical="center" wrapText="1"/>
    </xf>
    <xf numFmtId="1" fontId="47" fillId="0" borderId="0" xfId="0" applyNumberFormat="1" applyFont="1"/>
    <xf numFmtId="170" fontId="111" fillId="34" borderId="0" xfId="0" applyNumberFormat="1" applyFont="1" applyFill="1"/>
    <xf numFmtId="9" fontId="46" fillId="0" borderId="0" xfId="132" applyFont="1" applyAlignment="1">
      <alignment vertical="center"/>
    </xf>
    <xf numFmtId="9" fontId="56" fillId="0" borderId="0" xfId="132" applyFont="1" applyAlignment="1">
      <alignment vertical="center"/>
    </xf>
    <xf numFmtId="196" fontId="56" fillId="0" borderId="0" xfId="184" applyNumberFormat="1" applyFont="1" applyAlignment="1">
      <alignment horizontal="center"/>
    </xf>
    <xf numFmtId="174" fontId="56" fillId="0" borderId="0" xfId="184" applyNumberFormat="1" applyFont="1" applyAlignment="1">
      <alignment horizontal="center"/>
    </xf>
    <xf numFmtId="0" fontId="114" fillId="0" borderId="0" xfId="68" applyFont="1"/>
    <xf numFmtId="0" fontId="115" fillId="0" borderId="0" xfId="68" applyFont="1"/>
    <xf numFmtId="0" fontId="116" fillId="0" borderId="0" xfId="68" applyFont="1"/>
    <xf numFmtId="0" fontId="117" fillId="0" borderId="0" xfId="39" applyFont="1" applyAlignment="1" applyProtection="1"/>
    <xf numFmtId="0" fontId="117" fillId="0" borderId="0" xfId="34" applyFont="1" applyAlignment="1" applyProtection="1"/>
    <xf numFmtId="0" fontId="117" fillId="0" borderId="0" xfId="34" applyFont="1" applyAlignment="1" applyProtection="1">
      <alignment horizontal="right"/>
    </xf>
    <xf numFmtId="0" fontId="117" fillId="0" borderId="0" xfId="39" applyFont="1" applyAlignment="1" applyProtection="1">
      <alignment horizontal="right"/>
    </xf>
    <xf numFmtId="0" fontId="118" fillId="0" borderId="0" xfId="68" applyFont="1" applyAlignment="1">
      <alignment horizontal="left" indent="2"/>
    </xf>
    <xf numFmtId="0" fontId="119" fillId="0" borderId="0" xfId="34" applyFont="1" applyAlignment="1" applyProtection="1">
      <alignment horizontal="right"/>
    </xf>
    <xf numFmtId="0" fontId="118" fillId="0" borderId="0" xfId="184" applyFont="1" applyAlignment="1">
      <alignment horizontal="left" indent="2"/>
    </xf>
    <xf numFmtId="0" fontId="119" fillId="0" borderId="0" xfId="34" applyFont="1" applyAlignment="1" applyProtection="1"/>
    <xf numFmtId="0" fontId="120" fillId="0" borderId="0" xfId="68" applyFont="1"/>
    <xf numFmtId="0" fontId="119" fillId="0" borderId="0" xfId="39" applyFont="1" applyAlignment="1" applyProtection="1"/>
    <xf numFmtId="0" fontId="121" fillId="0" borderId="0" xfId="0" applyFont="1" applyAlignment="1">
      <alignment vertical="center"/>
    </xf>
    <xf numFmtId="0" fontId="120" fillId="0" borderId="0" xfId="0" applyFont="1" applyAlignment="1">
      <alignment vertical="center"/>
    </xf>
    <xf numFmtId="0" fontId="117" fillId="0" borderId="0" xfId="39" applyFont="1" applyBorder="1" applyAlignment="1" applyProtection="1">
      <alignment horizontal="right" vertical="center"/>
    </xf>
    <xf numFmtId="0" fontId="119" fillId="0" borderId="0" xfId="39" applyFont="1" applyBorder="1" applyAlignment="1" applyProtection="1">
      <alignment horizontal="right" vertical="center"/>
    </xf>
    <xf numFmtId="0" fontId="114" fillId="0" borderId="0" xfId="0" applyFont="1" applyAlignment="1">
      <alignment vertical="center"/>
    </xf>
    <xf numFmtId="0" fontId="122" fillId="0" borderId="0" xfId="184" applyFont="1" applyAlignment="1">
      <alignment vertical="center"/>
    </xf>
    <xf numFmtId="0" fontId="123" fillId="0" borderId="0" xfId="184" applyFont="1" applyAlignment="1">
      <alignment vertical="center"/>
    </xf>
    <xf numFmtId="0" fontId="122" fillId="0" borderId="0" xfId="184" applyFont="1" applyAlignment="1">
      <alignment horizontal="center" vertical="center"/>
    </xf>
    <xf numFmtId="0" fontId="124" fillId="0" borderId="0" xfId="0" applyFont="1" applyAlignment="1">
      <alignment horizontal="center" vertical="center" wrapText="1"/>
    </xf>
    <xf numFmtId="0" fontId="126" fillId="0" borderId="0" xfId="0" applyFont="1" applyAlignment="1">
      <alignment vertical="center"/>
    </xf>
    <xf numFmtId="3" fontId="126" fillId="0" borderId="0" xfId="0" applyNumberFormat="1" applyFont="1" applyAlignment="1">
      <alignment vertical="center"/>
    </xf>
    <xf numFmtId="171" fontId="126" fillId="0" borderId="0" xfId="0" applyNumberFormat="1" applyFont="1" applyAlignment="1">
      <alignment vertical="center"/>
    </xf>
    <xf numFmtId="0" fontId="128" fillId="0" borderId="0" xfId="184" applyFont="1" applyAlignment="1">
      <alignment vertical="center"/>
    </xf>
    <xf numFmtId="0" fontId="120" fillId="0" borderId="0" xfId="184" applyFont="1" applyAlignment="1">
      <alignment horizontal="left" vertical="center"/>
    </xf>
    <xf numFmtId="3" fontId="120" fillId="0" borderId="0" xfId="184" applyNumberFormat="1" applyFont="1" applyAlignment="1">
      <alignment horizontal="left" vertical="center"/>
    </xf>
    <xf numFmtId="0" fontId="120" fillId="45" borderId="0" xfId="184" applyFont="1" applyFill="1" applyAlignment="1">
      <alignment horizontal="left" vertical="center"/>
    </xf>
    <xf numFmtId="1" fontId="120" fillId="0" borderId="0" xfId="184" applyNumberFormat="1" applyFont="1" applyAlignment="1">
      <alignment horizontal="left" vertical="center"/>
    </xf>
    <xf numFmtId="10" fontId="120" fillId="0" borderId="0" xfId="184" applyNumberFormat="1" applyFont="1" applyAlignment="1">
      <alignment horizontal="left" vertical="center"/>
    </xf>
    <xf numFmtId="169" fontId="126" fillId="0" borderId="0" xfId="132" applyNumberFormat="1" applyFont="1" applyFill="1" applyBorder="1" applyAlignment="1">
      <alignment horizontal="center" vertical="center"/>
    </xf>
    <xf numFmtId="0" fontId="120" fillId="34" borderId="0" xfId="0" applyFont="1" applyFill="1" applyAlignment="1">
      <alignment vertical="center"/>
    </xf>
    <xf numFmtId="0" fontId="128" fillId="34" borderId="0" xfId="0" applyFont="1" applyFill="1" applyAlignment="1">
      <alignment horizontal="left" vertical="center" wrapText="1"/>
    </xf>
    <xf numFmtId="0" fontId="122" fillId="0" borderId="0" xfId="68" applyFont="1" applyAlignment="1">
      <alignment vertical="center" textRotation="90"/>
    </xf>
    <xf numFmtId="0" fontId="120" fillId="46" borderId="0" xfId="68" applyFont="1" applyFill="1"/>
    <xf numFmtId="0" fontId="116" fillId="46" borderId="0" xfId="68" applyFont="1" applyFill="1"/>
    <xf numFmtId="0" fontId="129" fillId="0" borderId="0" xfId="68" applyFont="1" applyAlignment="1">
      <alignment vertical="center" textRotation="90"/>
    </xf>
    <xf numFmtId="0" fontId="125" fillId="0" borderId="0" xfId="68" applyFont="1" applyAlignment="1">
      <alignment vertical="center" textRotation="90"/>
    </xf>
    <xf numFmtId="0" fontId="122" fillId="46" borderId="0" xfId="68" applyFont="1" applyFill="1" applyAlignment="1">
      <alignment vertical="center" textRotation="90"/>
    </xf>
    <xf numFmtId="0" fontId="131" fillId="0" borderId="0" xfId="68" applyFont="1" applyAlignment="1">
      <alignment vertical="center"/>
    </xf>
    <xf numFmtId="0" fontId="133" fillId="0" borderId="0" xfId="0" applyFont="1" applyAlignment="1">
      <alignment vertical="center"/>
    </xf>
    <xf numFmtId="0" fontId="132" fillId="47" borderId="38" xfId="0" applyFont="1" applyFill="1" applyBorder="1" applyAlignment="1">
      <alignment horizontal="left" vertical="center"/>
    </xf>
    <xf numFmtId="0" fontId="125" fillId="47" borderId="39" xfId="0" applyFont="1" applyFill="1" applyBorder="1" applyAlignment="1">
      <alignment horizontal="center" vertical="center" wrapText="1"/>
    </xf>
    <xf numFmtId="0" fontId="115" fillId="0" borderId="40" xfId="0" applyFont="1" applyBorder="1" applyAlignment="1">
      <alignment horizontal="left" vertical="center" wrapText="1"/>
    </xf>
    <xf numFmtId="3" fontId="115" fillId="34" borderId="0" xfId="67" applyNumberFormat="1" applyFont="1" applyFill="1" applyAlignment="1">
      <alignment horizontal="center" vertical="center"/>
    </xf>
    <xf numFmtId="3" fontId="115" fillId="0" borderId="0" xfId="67" applyNumberFormat="1" applyFont="1" applyAlignment="1">
      <alignment horizontal="center" vertical="center"/>
    </xf>
    <xf numFmtId="0" fontId="125" fillId="0" borderId="40" xfId="0" applyFont="1" applyBorder="1" applyAlignment="1">
      <alignment horizontal="left" vertical="center" wrapText="1"/>
    </xf>
    <xf numFmtId="3" fontId="125" fillId="0" borderId="0" xfId="67" applyNumberFormat="1" applyFont="1" applyAlignment="1">
      <alignment horizontal="center" vertical="center"/>
    </xf>
    <xf numFmtId="3" fontId="125" fillId="34" borderId="0" xfId="67" applyNumberFormat="1" applyFont="1" applyFill="1" applyAlignment="1">
      <alignment horizontal="center" vertical="center"/>
    </xf>
    <xf numFmtId="0" fontId="125" fillId="0" borderId="41" xfId="0" applyFont="1" applyBorder="1" applyAlignment="1">
      <alignment horizontal="left" vertical="center" wrapText="1"/>
    </xf>
    <xf numFmtId="3" fontId="125" fillId="0" borderId="37" xfId="67" applyNumberFormat="1" applyFont="1" applyBorder="1" applyAlignment="1">
      <alignment horizontal="center" vertical="center"/>
    </xf>
    <xf numFmtId="3" fontId="125" fillId="34" borderId="37" xfId="67" applyNumberFormat="1" applyFont="1" applyFill="1" applyBorder="1" applyAlignment="1">
      <alignment horizontal="center" vertical="center"/>
    </xf>
    <xf numFmtId="169" fontId="125" fillId="0" borderId="0" xfId="132" applyNumberFormat="1" applyFont="1" applyFill="1" applyBorder="1" applyAlignment="1">
      <alignment horizontal="center" vertical="center"/>
    </xf>
    <xf numFmtId="169" fontId="125" fillId="34" borderId="0" xfId="132" applyNumberFormat="1" applyFont="1" applyFill="1" applyBorder="1" applyAlignment="1">
      <alignment horizontal="center" vertical="center"/>
    </xf>
    <xf numFmtId="10" fontId="125" fillId="0" borderId="0" xfId="187" applyNumberFormat="1" applyFont="1" applyFill="1" applyBorder="1" applyAlignment="1">
      <alignment horizontal="center" vertical="center"/>
    </xf>
    <xf numFmtId="10" fontId="125" fillId="34" borderId="0" xfId="187" applyNumberFormat="1" applyFont="1" applyFill="1" applyBorder="1" applyAlignment="1">
      <alignment horizontal="center" vertical="center"/>
    </xf>
    <xf numFmtId="9" fontId="125" fillId="0" borderId="0" xfId="132" applyFont="1" applyFill="1" applyBorder="1" applyAlignment="1">
      <alignment horizontal="center" vertical="center"/>
    </xf>
    <xf numFmtId="9" fontId="125" fillId="34" borderId="0" xfId="187" applyNumberFormat="1" applyFont="1" applyFill="1" applyBorder="1" applyAlignment="1">
      <alignment horizontal="center" vertical="center"/>
    </xf>
    <xf numFmtId="9" fontId="125" fillId="0" borderId="0" xfId="187" applyNumberFormat="1" applyFont="1" applyFill="1" applyBorder="1" applyAlignment="1">
      <alignment horizontal="center" vertical="center"/>
    </xf>
    <xf numFmtId="169" fontId="125" fillId="34" borderId="0" xfId="187" applyNumberFormat="1" applyFont="1" applyFill="1" applyBorder="1" applyAlignment="1">
      <alignment horizontal="center" vertical="center"/>
    </xf>
    <xf numFmtId="169" fontId="125" fillId="0" borderId="0" xfId="187" applyNumberFormat="1" applyFont="1" applyFill="1" applyBorder="1" applyAlignment="1">
      <alignment horizontal="center" vertical="center"/>
    </xf>
    <xf numFmtId="10" fontId="125" fillId="0" borderId="0" xfId="132" applyNumberFormat="1" applyFont="1" applyFill="1" applyBorder="1" applyAlignment="1">
      <alignment horizontal="center" vertical="center"/>
    </xf>
    <xf numFmtId="9" fontId="125" fillId="34" borderId="0" xfId="132" applyFont="1" applyFill="1" applyBorder="1" applyAlignment="1">
      <alignment horizontal="center" vertical="center"/>
    </xf>
    <xf numFmtId="10" fontId="125" fillId="34" borderId="0" xfId="132" applyNumberFormat="1" applyFont="1" applyFill="1" applyBorder="1" applyAlignment="1">
      <alignment horizontal="center" vertical="center"/>
    </xf>
    <xf numFmtId="0" fontId="114" fillId="34" borderId="0" xfId="0" applyFont="1" applyFill="1" applyAlignment="1">
      <alignment vertical="center"/>
    </xf>
    <xf numFmtId="0" fontId="114" fillId="34" borderId="0" xfId="0" applyFont="1" applyFill="1" applyAlignment="1">
      <alignment horizontal="left" vertical="center" wrapText="1"/>
    </xf>
    <xf numFmtId="2" fontId="125" fillId="0" borderId="0" xfId="0" applyNumberFormat="1" applyFont="1" applyAlignment="1">
      <alignment horizontal="center" vertical="center"/>
    </xf>
    <xf numFmtId="2" fontId="125" fillId="34" borderId="0" xfId="0" applyNumberFormat="1" applyFont="1" applyFill="1" applyAlignment="1">
      <alignment horizontal="center" vertical="center"/>
    </xf>
    <xf numFmtId="0" fontId="125" fillId="34" borderId="42" xfId="0" applyFont="1" applyFill="1" applyBorder="1" applyAlignment="1">
      <alignment horizontal="left" vertical="center" wrapText="1"/>
    </xf>
    <xf numFmtId="169" fontId="125" fillId="34" borderId="43" xfId="132" applyNumberFormat="1" applyFont="1" applyFill="1" applyBorder="1" applyAlignment="1">
      <alignment horizontal="center" vertical="center"/>
    </xf>
    <xf numFmtId="169" fontId="125" fillId="0" borderId="43" xfId="132" applyNumberFormat="1" applyFont="1" applyFill="1" applyBorder="1" applyAlignment="1">
      <alignment horizontal="center" vertical="center"/>
    </xf>
    <xf numFmtId="0" fontId="125" fillId="0" borderId="42" xfId="0" applyFont="1" applyBorder="1" applyAlignment="1">
      <alignment horizontal="left" vertical="center" wrapText="1"/>
    </xf>
    <xf numFmtId="3" fontId="125" fillId="0" borderId="43" xfId="67" applyNumberFormat="1" applyFont="1" applyBorder="1" applyAlignment="1">
      <alignment horizontal="center" vertical="center"/>
    </xf>
    <xf numFmtId="3" fontId="125" fillId="34" borderId="43" xfId="67" applyNumberFormat="1" applyFont="1" applyFill="1" applyBorder="1" applyAlignment="1">
      <alignment horizontal="center" vertical="center"/>
    </xf>
    <xf numFmtId="0" fontId="125" fillId="0" borderId="38" xfId="0" applyFont="1" applyBorder="1" applyAlignment="1">
      <alignment horizontal="left" vertical="center" wrapText="1"/>
    </xf>
    <xf numFmtId="3" fontId="125" fillId="0" borderId="39" xfId="67" applyNumberFormat="1" applyFont="1" applyBorder="1" applyAlignment="1">
      <alignment horizontal="center" vertical="center"/>
    </xf>
    <xf numFmtId="3" fontId="125" fillId="34" borderId="39" xfId="67" applyNumberFormat="1" applyFont="1" applyFill="1" applyBorder="1" applyAlignment="1">
      <alignment horizontal="center" vertical="center"/>
    </xf>
    <xf numFmtId="3" fontId="125" fillId="0" borderId="43" xfId="0" applyNumberFormat="1" applyFont="1" applyBorder="1" applyAlignment="1">
      <alignment horizontal="center" vertical="center"/>
    </xf>
    <xf numFmtId="3" fontId="125" fillId="34" borderId="43" xfId="0" applyNumberFormat="1" applyFont="1" applyFill="1" applyBorder="1" applyAlignment="1">
      <alignment horizontal="center" vertical="center"/>
    </xf>
    <xf numFmtId="173" fontId="125" fillId="47" borderId="39" xfId="0" applyNumberFormat="1" applyFont="1" applyFill="1" applyBorder="1" applyAlignment="1">
      <alignment horizontal="center" vertical="center" wrapText="1"/>
    </xf>
    <xf numFmtId="0" fontId="125" fillId="47" borderId="45" xfId="0" applyFont="1" applyFill="1" applyBorder="1" applyAlignment="1">
      <alignment horizontal="center" vertical="center" wrapText="1"/>
    </xf>
    <xf numFmtId="0" fontId="125" fillId="47" borderId="48" xfId="0" applyFont="1" applyFill="1" applyBorder="1" applyAlignment="1">
      <alignment horizontal="center" vertical="center" wrapText="1"/>
    </xf>
    <xf numFmtId="173" fontId="125" fillId="47" borderId="45" xfId="0" applyNumberFormat="1" applyFont="1" applyFill="1" applyBorder="1" applyAlignment="1">
      <alignment horizontal="center" vertical="center" wrapText="1"/>
    </xf>
    <xf numFmtId="173" fontId="125" fillId="47" borderId="48" xfId="0" applyNumberFormat="1" applyFont="1" applyFill="1" applyBorder="1" applyAlignment="1">
      <alignment horizontal="center" vertical="center" wrapText="1"/>
    </xf>
    <xf numFmtId="0" fontId="115" fillId="0" borderId="38" xfId="0" applyFont="1" applyBorder="1" applyAlignment="1">
      <alignment horizontal="left" vertical="center" wrapText="1"/>
    </xf>
    <xf numFmtId="3" fontId="115" fillId="34" borderId="39" xfId="67" applyNumberFormat="1" applyFont="1" applyFill="1" applyBorder="1" applyAlignment="1">
      <alignment horizontal="center" vertical="center"/>
    </xf>
    <xf numFmtId="3" fontId="115" fillId="0" borderId="39" xfId="67" applyNumberFormat="1" applyFont="1" applyBorder="1" applyAlignment="1">
      <alignment horizontal="center" vertical="center"/>
    </xf>
    <xf numFmtId="0" fontId="115" fillId="0" borderId="42" xfId="0" applyFont="1" applyBorder="1" applyAlignment="1">
      <alignment horizontal="left" vertical="center" wrapText="1"/>
    </xf>
    <xf numFmtId="3" fontId="115" fillId="34" borderId="43" xfId="67" applyNumberFormat="1" applyFont="1" applyFill="1" applyBorder="1" applyAlignment="1">
      <alignment horizontal="center" vertical="center"/>
    </xf>
    <xf numFmtId="3" fontId="115" fillId="0" borderId="43" xfId="67" applyNumberFormat="1" applyFont="1" applyBorder="1" applyAlignment="1">
      <alignment horizontal="center" vertical="center"/>
    </xf>
    <xf numFmtId="0" fontId="125" fillId="0" borderId="52" xfId="0" applyFont="1" applyBorder="1" applyAlignment="1">
      <alignment horizontal="left" vertical="center" wrapText="1"/>
    </xf>
    <xf numFmtId="3" fontId="125" fillId="0" borderId="53" xfId="0" applyNumberFormat="1" applyFont="1" applyBorder="1" applyAlignment="1">
      <alignment horizontal="center" vertical="center"/>
    </xf>
    <xf numFmtId="3" fontId="125" fillId="34" borderId="53" xfId="0" applyNumberFormat="1" applyFont="1" applyFill="1" applyBorder="1" applyAlignment="1">
      <alignment horizontal="center" vertical="center"/>
    </xf>
    <xf numFmtId="0" fontId="115" fillId="0" borderId="52" xfId="0" applyFont="1" applyBorder="1" applyAlignment="1">
      <alignment horizontal="left" vertical="center" wrapText="1"/>
    </xf>
    <xf numFmtId="3" fontId="115" fillId="34" borderId="53" xfId="0" applyNumberFormat="1" applyFont="1" applyFill="1" applyBorder="1" applyAlignment="1">
      <alignment horizontal="center" vertical="center"/>
    </xf>
    <xf numFmtId="3" fontId="115" fillId="0" borderId="53" xfId="0" applyNumberFormat="1" applyFont="1" applyBorder="1" applyAlignment="1">
      <alignment horizontal="center" vertical="center"/>
    </xf>
    <xf numFmtId="0" fontId="115" fillId="34" borderId="52" xfId="0" applyFont="1" applyFill="1" applyBorder="1" applyAlignment="1">
      <alignment horizontal="left" vertical="center" wrapText="1"/>
    </xf>
    <xf numFmtId="0" fontId="125" fillId="34" borderId="52" xfId="0" applyFont="1" applyFill="1" applyBorder="1" applyAlignment="1">
      <alignment horizontal="left" vertical="center" wrapText="1"/>
    </xf>
    <xf numFmtId="0" fontId="125" fillId="0" borderId="56" xfId="0" applyFont="1" applyBorder="1" applyAlignment="1">
      <alignment horizontal="left" vertical="center" wrapText="1"/>
    </xf>
    <xf numFmtId="10" fontId="125" fillId="0" borderId="57" xfId="132" applyNumberFormat="1" applyFont="1" applyFill="1" applyBorder="1" applyAlignment="1">
      <alignment horizontal="center" vertical="center"/>
    </xf>
    <xf numFmtId="10" fontId="125" fillId="34" borderId="57" xfId="132" applyNumberFormat="1" applyFont="1" applyFill="1" applyBorder="1" applyAlignment="1">
      <alignment horizontal="center" vertical="center"/>
    </xf>
    <xf numFmtId="1" fontId="49" fillId="34" borderId="0" xfId="0" applyNumberFormat="1" applyFont="1" applyFill="1" applyAlignment="1">
      <alignment horizontal="center" vertical="center" wrapText="1"/>
    </xf>
    <xf numFmtId="3" fontId="115" fillId="48" borderId="46" xfId="67" applyNumberFormat="1" applyFont="1" applyFill="1" applyBorder="1" applyAlignment="1">
      <alignment horizontal="center" vertical="center"/>
    </xf>
    <xf numFmtId="3" fontId="125" fillId="48" borderId="47" xfId="67" applyNumberFormat="1" applyFont="1" applyFill="1" applyBorder="1" applyAlignment="1">
      <alignment horizontal="center" vertical="center"/>
    </xf>
    <xf numFmtId="3" fontId="125" fillId="48" borderId="46" xfId="67" applyNumberFormat="1" applyFont="1" applyFill="1" applyBorder="1" applyAlignment="1">
      <alignment horizontal="center" vertical="center"/>
    </xf>
    <xf numFmtId="3" fontId="115" fillId="48" borderId="45" xfId="67" applyNumberFormat="1" applyFont="1" applyFill="1" applyBorder="1" applyAlignment="1">
      <alignment horizontal="center" vertical="center"/>
    </xf>
    <xf numFmtId="3" fontId="115" fillId="48" borderId="50" xfId="67" applyNumberFormat="1" applyFont="1" applyFill="1" applyBorder="1" applyAlignment="1">
      <alignment horizontal="center" vertical="center"/>
    </xf>
    <xf numFmtId="3" fontId="125" fillId="48" borderId="45" xfId="67" applyNumberFormat="1" applyFont="1" applyFill="1" applyBorder="1" applyAlignment="1">
      <alignment horizontal="center" vertical="center"/>
    </xf>
    <xf numFmtId="3" fontId="125" fillId="48" borderId="55" xfId="0" applyNumberFormat="1" applyFont="1" applyFill="1" applyBorder="1" applyAlignment="1">
      <alignment horizontal="center" vertical="center"/>
    </xf>
    <xf numFmtId="3" fontId="115" fillId="48" borderId="55" xfId="0" applyNumberFormat="1" applyFont="1" applyFill="1" applyBorder="1" applyAlignment="1">
      <alignment horizontal="center" vertical="center"/>
    </xf>
    <xf numFmtId="3" fontId="125" fillId="48" borderId="50" xfId="0" applyNumberFormat="1" applyFont="1" applyFill="1" applyBorder="1" applyAlignment="1">
      <alignment horizontal="center" vertical="center"/>
    </xf>
    <xf numFmtId="3" fontId="125" fillId="48" borderId="50" xfId="67" applyNumberFormat="1" applyFont="1" applyFill="1" applyBorder="1" applyAlignment="1">
      <alignment horizontal="center" vertical="center"/>
    </xf>
    <xf numFmtId="2" fontId="125" fillId="48" borderId="0" xfId="0" applyNumberFormat="1" applyFont="1" applyFill="1" applyAlignment="1">
      <alignment horizontal="center" vertical="center"/>
    </xf>
    <xf numFmtId="2" fontId="125" fillId="48" borderId="46" xfId="0" applyNumberFormat="1" applyFont="1" applyFill="1" applyBorder="1" applyAlignment="1">
      <alignment horizontal="center" vertical="center"/>
    </xf>
    <xf numFmtId="169" fontId="125" fillId="48" borderId="46" xfId="132" applyNumberFormat="1" applyFont="1" applyFill="1" applyBorder="1" applyAlignment="1">
      <alignment horizontal="center" vertical="center"/>
    </xf>
    <xf numFmtId="10" fontId="125" fillId="48" borderId="46" xfId="187" applyNumberFormat="1" applyFont="1" applyFill="1" applyBorder="1" applyAlignment="1">
      <alignment horizontal="center" vertical="center"/>
    </xf>
    <xf numFmtId="9" fontId="125" fillId="48" borderId="46" xfId="187" applyNumberFormat="1" applyFont="1" applyFill="1" applyBorder="1" applyAlignment="1">
      <alignment horizontal="center" vertical="center"/>
    </xf>
    <xf numFmtId="9" fontId="125" fillId="48" borderId="46" xfId="132" applyFont="1" applyFill="1" applyBorder="1" applyAlignment="1">
      <alignment horizontal="center" vertical="center"/>
    </xf>
    <xf numFmtId="10" fontId="125" fillId="48" borderId="59" xfId="132" applyNumberFormat="1" applyFont="1" applyFill="1" applyBorder="1" applyAlignment="1">
      <alignment horizontal="center" vertical="center"/>
    </xf>
    <xf numFmtId="10" fontId="125" fillId="48" borderId="46" xfId="132" applyNumberFormat="1" applyFont="1" applyFill="1" applyBorder="1" applyAlignment="1">
      <alignment horizontal="center" vertical="center"/>
    </xf>
    <xf numFmtId="169" fontId="125" fillId="48" borderId="50" xfId="132" applyNumberFormat="1" applyFont="1" applyFill="1" applyBorder="1" applyAlignment="1">
      <alignment horizontal="center" vertical="center"/>
    </xf>
    <xf numFmtId="3" fontId="115" fillId="34" borderId="31" xfId="67" applyNumberFormat="1" applyFont="1" applyFill="1" applyBorder="1" applyAlignment="1">
      <alignment horizontal="center" vertical="center"/>
    </xf>
    <xf numFmtId="3" fontId="115" fillId="34" borderId="30" xfId="67" applyNumberFormat="1" applyFont="1" applyFill="1" applyBorder="1" applyAlignment="1">
      <alignment horizontal="center" vertical="center"/>
    </xf>
    <xf numFmtId="3" fontId="133" fillId="34" borderId="31" xfId="67" applyNumberFormat="1" applyFont="1" applyFill="1" applyBorder="1" applyAlignment="1">
      <alignment horizontal="center" vertical="center"/>
    </xf>
    <xf numFmtId="3" fontId="115" fillId="0" borderId="30" xfId="67" applyNumberFormat="1" applyFont="1" applyBorder="1" applyAlignment="1">
      <alignment horizontal="center" vertical="center"/>
    </xf>
    <xf numFmtId="3" fontId="115" fillId="34" borderId="33" xfId="67" applyNumberFormat="1" applyFont="1" applyFill="1" applyBorder="1" applyAlignment="1">
      <alignment horizontal="center" vertical="center"/>
    </xf>
    <xf numFmtId="3" fontId="115" fillId="34" borderId="0" xfId="0" applyNumberFormat="1" applyFont="1" applyFill="1" applyAlignment="1">
      <alignment horizontal="center" vertical="center"/>
    </xf>
    <xf numFmtId="0" fontId="140" fillId="47" borderId="31" xfId="0" applyFont="1" applyFill="1" applyBorder="1" applyAlignment="1">
      <alignment horizontal="left" vertical="center" wrapText="1"/>
    </xf>
    <xf numFmtId="1" fontId="113" fillId="34" borderId="0" xfId="0" applyNumberFormat="1" applyFont="1" applyFill="1" applyAlignment="1">
      <alignment vertical="center"/>
    </xf>
    <xf numFmtId="0" fontId="49" fillId="34" borderId="0" xfId="0" applyFont="1" applyFill="1" applyAlignment="1">
      <alignment horizontal="left" vertical="center" wrapText="1"/>
    </xf>
    <xf numFmtId="2" fontId="49" fillId="34" borderId="0" xfId="0" applyNumberFormat="1" applyFont="1" applyFill="1" applyAlignment="1">
      <alignment horizontal="center" vertical="center" wrapText="1"/>
    </xf>
    <xf numFmtId="0" fontId="115" fillId="0" borderId="62" xfId="0" applyFont="1" applyBorder="1" applyAlignment="1">
      <alignment horizontal="left" vertical="center" wrapText="1"/>
    </xf>
    <xf numFmtId="0" fontId="115" fillId="0" borderId="64" xfId="0" applyFont="1" applyBorder="1" applyAlignment="1">
      <alignment horizontal="left" vertical="center" wrapText="1"/>
    </xf>
    <xf numFmtId="0" fontId="125" fillId="48" borderId="40" xfId="0" applyFont="1" applyFill="1" applyBorder="1" applyAlignment="1">
      <alignment horizontal="left" vertical="center" wrapText="1"/>
    </xf>
    <xf numFmtId="3" fontId="115" fillId="0" borderId="0" xfId="0" applyNumberFormat="1" applyFont="1" applyAlignment="1">
      <alignment horizontal="center" vertical="center"/>
    </xf>
    <xf numFmtId="0" fontId="49" fillId="34" borderId="40" xfId="0" applyFont="1" applyFill="1" applyBorder="1" applyAlignment="1">
      <alignment horizontal="left" vertical="center" wrapText="1"/>
    </xf>
    <xf numFmtId="1" fontId="49" fillId="34" borderId="46" xfId="0" applyNumberFormat="1" applyFont="1" applyFill="1" applyBorder="1" applyAlignment="1">
      <alignment horizontal="center" vertical="center" wrapText="1"/>
    </xf>
    <xf numFmtId="0" fontId="105" fillId="34" borderId="40" xfId="0" applyFont="1" applyFill="1" applyBorder="1" applyAlignment="1">
      <alignment horizontal="left" vertical="center" wrapText="1"/>
    </xf>
    <xf numFmtId="1" fontId="105" fillId="34" borderId="0" xfId="0" applyNumberFormat="1" applyFont="1" applyFill="1" applyAlignment="1">
      <alignment horizontal="center" vertical="center" wrapText="1"/>
    </xf>
    <xf numFmtId="3" fontId="115" fillId="51" borderId="63" xfId="67" applyNumberFormat="1" applyFont="1" applyFill="1" applyBorder="1" applyAlignment="1">
      <alignment horizontal="center" vertical="center"/>
    </xf>
    <xf numFmtId="3" fontId="115" fillId="51" borderId="46" xfId="67" applyNumberFormat="1" applyFont="1" applyFill="1" applyBorder="1" applyAlignment="1">
      <alignment horizontal="center" vertical="center"/>
    </xf>
    <xf numFmtId="3" fontId="133" fillId="51" borderId="46" xfId="67" applyNumberFormat="1" applyFont="1" applyFill="1" applyBorder="1" applyAlignment="1">
      <alignment horizontal="center" vertical="center"/>
    </xf>
    <xf numFmtId="3" fontId="115" fillId="51" borderId="46" xfId="0" applyNumberFormat="1" applyFont="1" applyFill="1" applyBorder="1" applyAlignment="1">
      <alignment horizontal="center" vertical="center"/>
    </xf>
    <xf numFmtId="0" fontId="115" fillId="49" borderId="40" xfId="0" applyFont="1" applyFill="1" applyBorder="1" applyAlignment="1">
      <alignment horizontal="left" vertical="center" wrapText="1"/>
    </xf>
    <xf numFmtId="1" fontId="115" fillId="49" borderId="0" xfId="0" applyNumberFormat="1" applyFont="1" applyFill="1" applyAlignment="1">
      <alignment horizontal="center" vertical="center" wrapText="1"/>
    </xf>
    <xf numFmtId="3" fontId="115" fillId="34" borderId="30" xfId="0" applyNumberFormat="1" applyFont="1" applyFill="1" applyBorder="1" applyAlignment="1">
      <alignment horizontal="center" vertical="center"/>
    </xf>
    <xf numFmtId="3" fontId="115" fillId="0" borderId="30" xfId="0" applyNumberFormat="1" applyFont="1" applyBorder="1" applyAlignment="1">
      <alignment horizontal="center" vertical="center"/>
    </xf>
    <xf numFmtId="3" fontId="115" fillId="51" borderId="65" xfId="0" applyNumberFormat="1" applyFont="1" applyFill="1" applyBorder="1" applyAlignment="1">
      <alignment horizontal="center" vertical="center"/>
    </xf>
    <xf numFmtId="0" fontId="115" fillId="34" borderId="30" xfId="0" applyFont="1" applyFill="1" applyBorder="1" applyAlignment="1">
      <alignment horizontal="center" vertical="center"/>
    </xf>
    <xf numFmtId="0" fontId="115" fillId="0" borderId="66" xfId="0" applyFont="1" applyBorder="1" applyAlignment="1">
      <alignment horizontal="left" vertical="center" wrapText="1"/>
    </xf>
    <xf numFmtId="2" fontId="141" fillId="49" borderId="43" xfId="0" applyNumberFormat="1" applyFont="1" applyFill="1" applyBorder="1" applyAlignment="1">
      <alignment horizontal="center" vertical="center" wrapText="1"/>
    </xf>
    <xf numFmtId="2" fontId="141" fillId="49" borderId="50" xfId="0" applyNumberFormat="1" applyFont="1" applyFill="1" applyBorder="1" applyAlignment="1">
      <alignment horizontal="center" vertical="center" wrapText="1"/>
    </xf>
    <xf numFmtId="0" fontId="141" fillId="49" borderId="42" xfId="0" applyFont="1" applyFill="1" applyBorder="1" applyAlignment="1">
      <alignment horizontal="left" vertical="center" wrapText="1"/>
    </xf>
    <xf numFmtId="0" fontId="115" fillId="49" borderId="67" xfId="0" applyFont="1" applyFill="1" applyBorder="1" applyAlignment="1">
      <alignment horizontal="left" vertical="center" wrapText="1"/>
    </xf>
    <xf numFmtId="1" fontId="115" fillId="49" borderId="68" xfId="0" applyNumberFormat="1" applyFont="1" applyFill="1" applyBorder="1" applyAlignment="1">
      <alignment horizontal="center" vertical="center" wrapText="1"/>
    </xf>
    <xf numFmtId="1" fontId="115" fillId="49" borderId="69" xfId="0" applyNumberFormat="1" applyFont="1" applyFill="1" applyBorder="1" applyAlignment="1">
      <alignment horizontal="center" vertical="center" wrapText="1"/>
    </xf>
    <xf numFmtId="0" fontId="141" fillId="49" borderId="70" xfId="0" applyFont="1" applyFill="1" applyBorder="1" applyAlignment="1">
      <alignment horizontal="left" vertical="center" wrapText="1"/>
    </xf>
    <xf numFmtId="2" fontId="141" fillId="49" borderId="71" xfId="0" applyNumberFormat="1" applyFont="1" applyFill="1" applyBorder="1" applyAlignment="1">
      <alignment horizontal="center" vertical="center" wrapText="1"/>
    </xf>
    <xf numFmtId="1" fontId="105" fillId="34" borderId="46" xfId="0" applyNumberFormat="1" applyFont="1" applyFill="1" applyBorder="1" applyAlignment="1">
      <alignment horizontal="center" vertical="center" wrapText="1"/>
    </xf>
    <xf numFmtId="0" fontId="115" fillId="34" borderId="0" xfId="0" applyFont="1" applyFill="1" applyAlignment="1">
      <alignment vertical="center"/>
    </xf>
    <xf numFmtId="3" fontId="115" fillId="34" borderId="0" xfId="0" applyNumberFormat="1" applyFont="1" applyFill="1" applyAlignment="1">
      <alignment horizontal="center"/>
    </xf>
    <xf numFmtId="0" fontId="125" fillId="34" borderId="0" xfId="0" applyFont="1" applyFill="1" applyAlignment="1">
      <alignment vertical="center"/>
    </xf>
    <xf numFmtId="3" fontId="125" fillId="47" borderId="0" xfId="0" applyNumberFormat="1" applyFont="1" applyFill="1" applyAlignment="1">
      <alignment horizontal="center" vertical="center"/>
    </xf>
    <xf numFmtId="3" fontId="125" fillId="34" borderId="0" xfId="0" applyNumberFormat="1" applyFont="1" applyFill="1" applyAlignment="1">
      <alignment horizontal="center"/>
    </xf>
    <xf numFmtId="3" fontId="125" fillId="34" borderId="0" xfId="0" applyNumberFormat="1" applyFont="1" applyFill="1" applyAlignment="1">
      <alignment vertical="center"/>
    </xf>
    <xf numFmtId="0" fontId="115" fillId="0" borderId="0" xfId="0" applyFont="1" applyAlignment="1">
      <alignment vertical="center"/>
    </xf>
    <xf numFmtId="3" fontId="125" fillId="50" borderId="0" xfId="0" applyNumberFormat="1" applyFont="1" applyFill="1" applyAlignment="1">
      <alignment horizontal="center" vertical="center"/>
    </xf>
    <xf numFmtId="0" fontId="133" fillId="47" borderId="38" xfId="0" applyFont="1" applyFill="1" applyBorder="1" applyAlignment="1">
      <alignment vertical="center"/>
    </xf>
    <xf numFmtId="0" fontId="125" fillId="0" borderId="40" xfId="0" applyFont="1" applyBorder="1" applyAlignment="1">
      <alignment vertical="center"/>
    </xf>
    <xf numFmtId="3" fontId="115" fillId="0" borderId="0" xfId="0" applyNumberFormat="1" applyFont="1" applyAlignment="1">
      <alignment horizontal="center"/>
    </xf>
    <xf numFmtId="3" fontId="115" fillId="35" borderId="46" xfId="0" applyNumberFormat="1" applyFont="1" applyFill="1" applyBorder="1" applyAlignment="1">
      <alignment horizontal="center"/>
    </xf>
    <xf numFmtId="0" fontId="115" fillId="0" borderId="40" xfId="0" applyFont="1" applyBorder="1" applyAlignment="1">
      <alignment horizontal="left" vertical="center" indent="1"/>
    </xf>
    <xf numFmtId="0" fontId="115" fillId="0" borderId="40" xfId="0" applyFont="1" applyBorder="1" applyAlignment="1">
      <alignment horizontal="left" vertical="center" wrapText="1" indent="1"/>
    </xf>
    <xf numFmtId="0" fontId="125" fillId="47" borderId="40" xfId="0" applyFont="1" applyFill="1" applyBorder="1" applyAlignment="1">
      <alignment horizontal="left" vertical="center" wrapText="1" indent="1"/>
    </xf>
    <xf numFmtId="3" fontId="125" fillId="47" borderId="46" xfId="0" applyNumberFormat="1" applyFont="1" applyFill="1" applyBorder="1" applyAlignment="1">
      <alignment horizontal="center" vertical="center"/>
    </xf>
    <xf numFmtId="0" fontId="125" fillId="0" borderId="40" xfId="0" applyFont="1" applyBorder="1" applyAlignment="1">
      <alignment vertical="center" wrapText="1"/>
    </xf>
    <xf numFmtId="3" fontId="125" fillId="0" borderId="0" xfId="0" applyNumberFormat="1" applyFont="1" applyAlignment="1">
      <alignment horizontal="center"/>
    </xf>
    <xf numFmtId="3" fontId="125" fillId="35" borderId="46" xfId="0" applyNumberFormat="1" applyFont="1" applyFill="1" applyBorder="1" applyAlignment="1">
      <alignment horizontal="center"/>
    </xf>
    <xf numFmtId="0" fontId="115" fillId="0" borderId="40" xfId="0" applyFont="1" applyBorder="1" applyAlignment="1">
      <alignment horizontal="left" vertical="center" indent="4"/>
    </xf>
    <xf numFmtId="3" fontId="125" fillId="50" borderId="46" xfId="0" applyNumberFormat="1" applyFont="1" applyFill="1" applyBorder="1" applyAlignment="1">
      <alignment horizontal="center" vertical="center"/>
    </xf>
    <xf numFmtId="0" fontId="125" fillId="47" borderId="42" xfId="0" applyFont="1" applyFill="1" applyBorder="1" applyAlignment="1">
      <alignment horizontal="left" vertical="center" wrapText="1" indent="1"/>
    </xf>
    <xf numFmtId="3" fontId="125" fillId="47" borderId="43" xfId="0" applyNumberFormat="1" applyFont="1" applyFill="1" applyBorder="1" applyAlignment="1">
      <alignment horizontal="center" vertical="center"/>
    </xf>
    <xf numFmtId="3" fontId="125" fillId="47" borderId="50" xfId="0" applyNumberFormat="1" applyFont="1" applyFill="1" applyBorder="1" applyAlignment="1">
      <alignment horizontal="center" vertical="center"/>
    </xf>
    <xf numFmtId="3" fontId="125" fillId="47" borderId="49" xfId="0" applyNumberFormat="1" applyFont="1" applyFill="1" applyBorder="1" applyAlignment="1">
      <alignment horizontal="center" vertical="center"/>
    </xf>
    <xf numFmtId="3" fontId="125" fillId="50" borderId="49" xfId="0" applyNumberFormat="1" applyFont="1" applyFill="1" applyBorder="1" applyAlignment="1">
      <alignment horizontal="center" vertical="center"/>
    </xf>
    <xf numFmtId="3" fontId="125" fillId="47" borderId="51" xfId="0" applyNumberFormat="1" applyFont="1" applyFill="1" applyBorder="1" applyAlignment="1">
      <alignment horizontal="center" vertical="center"/>
    </xf>
    <xf numFmtId="9" fontId="48" fillId="34" borderId="0" xfId="132" applyFont="1" applyFill="1" applyBorder="1" applyAlignment="1">
      <alignment horizontal="center"/>
    </xf>
    <xf numFmtId="199" fontId="46" fillId="34" borderId="0" xfId="0" applyNumberFormat="1" applyFont="1" applyFill="1" applyAlignment="1">
      <alignment horizontal="center" vertical="center"/>
    </xf>
    <xf numFmtId="173" fontId="125" fillId="47" borderId="72" xfId="0" applyNumberFormat="1" applyFont="1" applyFill="1" applyBorder="1" applyAlignment="1">
      <alignment horizontal="center" vertical="center"/>
    </xf>
    <xf numFmtId="3" fontId="114" fillId="0" borderId="73" xfId="0" applyNumberFormat="1" applyFont="1" applyBorder="1" applyAlignment="1">
      <alignment horizontal="center" vertical="center" wrapText="1"/>
    </xf>
    <xf numFmtId="9" fontId="115" fillId="0" borderId="73" xfId="132" applyFont="1" applyFill="1" applyBorder="1" applyAlignment="1">
      <alignment horizontal="center" vertical="center"/>
    </xf>
    <xf numFmtId="9" fontId="115" fillId="50" borderId="73" xfId="132" applyFont="1" applyFill="1" applyBorder="1" applyAlignment="1">
      <alignment horizontal="center" vertical="center"/>
    </xf>
    <xf numFmtId="9" fontId="115" fillId="50" borderId="74" xfId="132" applyFont="1" applyFill="1" applyBorder="1" applyAlignment="1">
      <alignment horizontal="center" vertical="center"/>
    </xf>
    <xf numFmtId="0" fontId="121" fillId="34" borderId="0" xfId="0" applyFont="1" applyFill="1" applyAlignment="1">
      <alignment vertical="center"/>
    </xf>
    <xf numFmtId="0" fontId="125" fillId="0" borderId="0" xfId="0" applyFont="1" applyAlignment="1">
      <alignment horizontal="center" vertical="center" wrapText="1"/>
    </xf>
    <xf numFmtId="3" fontId="125" fillId="0" borderId="0" xfId="0" applyNumberFormat="1" applyFont="1" applyAlignment="1">
      <alignment horizontal="center" vertical="center"/>
    </xf>
    <xf numFmtId="3" fontId="125" fillId="34" borderId="0" xfId="0" applyNumberFormat="1" applyFont="1" applyFill="1" applyAlignment="1">
      <alignment horizontal="center" vertical="center"/>
    </xf>
    <xf numFmtId="9" fontId="125" fillId="34" borderId="0" xfId="0" applyNumberFormat="1" applyFont="1" applyFill="1" applyAlignment="1">
      <alignment horizontal="center" vertical="center"/>
    </xf>
    <xf numFmtId="9" fontId="115" fillId="34" borderId="0" xfId="0" applyNumberFormat="1" applyFont="1" applyFill="1" applyAlignment="1">
      <alignment horizontal="center" vertical="center"/>
    </xf>
    <xf numFmtId="0" fontId="125" fillId="0" borderId="0" xfId="0" applyFont="1" applyAlignment="1">
      <alignment horizontal="left" vertical="center"/>
    </xf>
    <xf numFmtId="9" fontId="142" fillId="34" borderId="0" xfId="0" applyNumberFormat="1" applyFont="1" applyFill="1" applyAlignment="1">
      <alignment horizontal="center" vertical="center"/>
    </xf>
    <xf numFmtId="9" fontId="142" fillId="0" borderId="0" xfId="0" applyNumberFormat="1" applyFont="1" applyAlignment="1">
      <alignment horizontal="center" vertical="center"/>
    </xf>
    <xf numFmtId="0" fontId="114" fillId="0" borderId="0" xfId="184" applyFont="1" applyAlignment="1">
      <alignment vertical="center"/>
    </xf>
    <xf numFmtId="0" fontId="114" fillId="0" borderId="0" xfId="184" applyFont="1" applyAlignment="1">
      <alignment horizontal="left" vertical="center"/>
    </xf>
    <xf numFmtId="0" fontId="132" fillId="50" borderId="38" xfId="0" applyFont="1" applyFill="1" applyBorder="1" applyAlignment="1">
      <alignment horizontal="left" vertical="center"/>
    </xf>
    <xf numFmtId="173" fontId="125" fillId="50" borderId="39" xfId="0" applyNumberFormat="1" applyFont="1" applyFill="1" applyBorder="1" applyAlignment="1">
      <alignment horizontal="center" vertical="center" wrapText="1"/>
    </xf>
    <xf numFmtId="173" fontId="125" fillId="50" borderId="45" xfId="0" applyNumberFormat="1" applyFont="1" applyFill="1" applyBorder="1" applyAlignment="1">
      <alignment horizontal="center" vertical="center" wrapText="1"/>
    </xf>
    <xf numFmtId="3" fontId="125" fillId="48" borderId="46" xfId="0" applyNumberFormat="1" applyFont="1" applyFill="1" applyBorder="1" applyAlignment="1">
      <alignment horizontal="center" vertical="center"/>
    </xf>
    <xf numFmtId="0" fontId="115" fillId="0" borderId="40" xfId="0" applyFont="1" applyBorder="1" applyAlignment="1">
      <alignment vertical="center"/>
    </xf>
    <xf numFmtId="3" fontId="115" fillId="48" borderId="46" xfId="0" applyNumberFormat="1" applyFont="1" applyFill="1" applyBorder="1" applyAlignment="1">
      <alignment horizontal="center" vertical="center"/>
    </xf>
    <xf numFmtId="0" fontId="125" fillId="37" borderId="42" xfId="0" applyFont="1" applyFill="1" applyBorder="1" applyAlignment="1">
      <alignment horizontal="left" vertical="center" wrapText="1"/>
    </xf>
    <xf numFmtId="0" fontId="115" fillId="0" borderId="40" xfId="0" applyFont="1" applyBorder="1" applyAlignment="1">
      <alignment horizontal="left" vertical="center"/>
    </xf>
    <xf numFmtId="0" fontId="125" fillId="0" borderId="40" xfId="0" applyFont="1" applyBorder="1" applyAlignment="1">
      <alignment horizontal="left" vertical="center"/>
    </xf>
    <xf numFmtId="0" fontId="132" fillId="0" borderId="40" xfId="0" applyFont="1" applyBorder="1" applyAlignment="1">
      <alignment horizontal="left" vertical="center"/>
    </xf>
    <xf numFmtId="9" fontId="115" fillId="0" borderId="0" xfId="0" applyNumberFormat="1" applyFont="1" applyAlignment="1">
      <alignment horizontal="center" vertical="center"/>
    </xf>
    <xf numFmtId="9" fontId="115" fillId="48" borderId="46" xfId="0" applyNumberFormat="1" applyFont="1" applyFill="1" applyBorder="1" applyAlignment="1">
      <alignment horizontal="center" vertical="center"/>
    </xf>
    <xf numFmtId="0" fontId="125" fillId="0" borderId="42" xfId="0" applyFont="1" applyBorder="1" applyAlignment="1">
      <alignment horizontal="left" vertical="center"/>
    </xf>
    <xf numFmtId="9" fontId="142" fillId="34" borderId="43" xfId="0" applyNumberFormat="1" applyFont="1" applyFill="1" applyBorder="1" applyAlignment="1">
      <alignment horizontal="center" vertical="center"/>
    </xf>
    <xf numFmtId="9" fontId="142" fillId="0" borderId="43" xfId="0" applyNumberFormat="1" applyFont="1" applyBorder="1" applyAlignment="1">
      <alignment horizontal="center" vertical="center"/>
    </xf>
    <xf numFmtId="9" fontId="142" fillId="48" borderId="50" xfId="0" applyNumberFormat="1" applyFont="1" applyFill="1" applyBorder="1" applyAlignment="1">
      <alignment horizontal="center" vertical="center"/>
    </xf>
    <xf numFmtId="9" fontId="125" fillId="0" borderId="0" xfId="0" applyNumberFormat="1" applyFont="1" applyAlignment="1">
      <alignment horizontal="center" vertical="center"/>
    </xf>
    <xf numFmtId="173" fontId="125" fillId="50" borderId="48" xfId="0" applyNumberFormat="1" applyFont="1" applyFill="1" applyBorder="1" applyAlignment="1">
      <alignment horizontal="center" vertical="center" wrapText="1"/>
    </xf>
    <xf numFmtId="3" fontId="115" fillId="34" borderId="49" xfId="0" applyNumberFormat="1" applyFont="1" applyFill="1" applyBorder="1" applyAlignment="1">
      <alignment horizontal="center" vertical="center"/>
    </xf>
    <xf numFmtId="0" fontId="143" fillId="0" borderId="64" xfId="0" applyFont="1" applyBorder="1" applyAlignment="1">
      <alignment horizontal="left" vertical="center" wrapText="1"/>
    </xf>
    <xf numFmtId="0" fontId="125" fillId="0" borderId="12" xfId="0" applyFont="1" applyBorder="1" applyAlignment="1">
      <alignment horizontal="left"/>
    </xf>
    <xf numFmtId="3" fontId="147" fillId="34" borderId="0" xfId="0" applyNumberFormat="1" applyFont="1" applyFill="1" applyAlignment="1">
      <alignment horizontal="center" vertical="center"/>
    </xf>
    <xf numFmtId="0" fontId="115" fillId="0" borderId="0" xfId="0" applyFont="1" applyAlignment="1">
      <alignment horizontal="left" vertical="center" wrapText="1"/>
    </xf>
    <xf numFmtId="0" fontId="114" fillId="0" borderId="0" xfId="0" applyFont="1" applyAlignment="1">
      <alignment horizontal="left" vertical="top" wrapText="1"/>
    </xf>
    <xf numFmtId="0" fontId="114" fillId="0" borderId="0" xfId="0" applyFont="1" applyAlignment="1">
      <alignment horizontal="left" vertical="top"/>
    </xf>
    <xf numFmtId="0" fontId="125" fillId="0" borderId="78" xfId="0" applyFont="1" applyBorder="1" applyAlignment="1">
      <alignment horizontal="left"/>
    </xf>
    <xf numFmtId="0" fontId="125" fillId="0" borderId="79" xfId="0" applyFont="1" applyBorder="1" applyAlignment="1">
      <alignment horizontal="left"/>
    </xf>
    <xf numFmtId="0" fontId="147" fillId="34" borderId="40" xfId="0" applyFont="1" applyFill="1" applyBorder="1" applyAlignment="1">
      <alignment horizontal="left" vertical="center" wrapText="1" indent="3"/>
    </xf>
    <xf numFmtId="3" fontId="147" fillId="0" borderId="0" xfId="0" applyNumberFormat="1" applyFont="1" applyAlignment="1">
      <alignment horizontal="center" vertical="center"/>
    </xf>
    <xf numFmtId="0" fontId="115" fillId="34" borderId="40" xfId="0" applyFont="1" applyFill="1" applyBorder="1" applyAlignment="1">
      <alignment horizontal="left" vertical="center" wrapText="1"/>
    </xf>
    <xf numFmtId="0" fontId="115" fillId="0" borderId="46" xfId="0" applyFont="1" applyBorder="1" applyAlignment="1">
      <alignment vertical="center"/>
    </xf>
    <xf numFmtId="0" fontId="125" fillId="0" borderId="85" xfId="0" applyFont="1" applyBorder="1" applyAlignment="1">
      <alignment horizontal="left"/>
    </xf>
    <xf numFmtId="0" fontId="115" fillId="0" borderId="49" xfId="0" applyFont="1" applyBorder="1" applyAlignment="1">
      <alignment vertical="center"/>
    </xf>
    <xf numFmtId="0" fontId="125" fillId="0" borderId="96" xfId="0" applyFont="1" applyBorder="1" applyAlignment="1">
      <alignment horizontal="left"/>
    </xf>
    <xf numFmtId="0" fontId="125" fillId="0" borderId="97" xfId="0" applyFont="1" applyBorder="1" applyAlignment="1">
      <alignment horizontal="left"/>
    </xf>
    <xf numFmtId="0" fontId="125" fillId="0" borderId="98" xfId="0" applyFont="1" applyBorder="1" applyAlignment="1">
      <alignment horizontal="left"/>
    </xf>
    <xf numFmtId="0" fontId="125" fillId="0" borderId="99" xfId="0" applyFont="1" applyBorder="1" applyAlignment="1">
      <alignment horizontal="left"/>
    </xf>
    <xf numFmtId="0" fontId="133" fillId="50" borderId="38" xfId="0" applyFont="1" applyFill="1" applyBorder="1" applyAlignment="1">
      <alignment vertical="center"/>
    </xf>
    <xf numFmtId="0" fontId="125" fillId="50" borderId="39" xfId="0" applyFont="1" applyFill="1" applyBorder="1" applyAlignment="1">
      <alignment horizontal="center" vertical="center" wrapText="1"/>
    </xf>
    <xf numFmtId="0" fontId="125" fillId="50" borderId="48" xfId="0" applyFont="1" applyFill="1" applyBorder="1" applyAlignment="1">
      <alignment horizontal="center" vertical="center" wrapText="1"/>
    </xf>
    <xf numFmtId="0" fontId="125" fillId="50" borderId="45" xfId="0" applyFont="1" applyFill="1" applyBorder="1" applyAlignment="1">
      <alignment horizontal="center" vertical="center" wrapText="1"/>
    </xf>
    <xf numFmtId="0" fontId="140" fillId="50" borderId="91" xfId="0" applyFont="1" applyFill="1" applyBorder="1" applyAlignment="1">
      <alignment horizontal="left" vertical="center" wrapText="1"/>
    </xf>
    <xf numFmtId="3" fontId="125" fillId="50" borderId="61" xfId="0" applyNumberFormat="1" applyFont="1" applyFill="1" applyBorder="1" applyAlignment="1">
      <alignment horizontal="center" vertical="center" wrapText="1"/>
    </xf>
    <xf numFmtId="3" fontId="125" fillId="50" borderId="84" xfId="0" applyNumberFormat="1" applyFont="1" applyFill="1" applyBorder="1" applyAlignment="1">
      <alignment horizontal="center" vertical="center" wrapText="1"/>
    </xf>
    <xf numFmtId="3" fontId="125" fillId="50" borderId="77" xfId="0" applyNumberFormat="1" applyFont="1" applyFill="1" applyBorder="1" applyAlignment="1">
      <alignment horizontal="center" vertical="center" wrapText="1"/>
    </xf>
    <xf numFmtId="0" fontId="140" fillId="50" borderId="92" xfId="0" applyFont="1" applyFill="1" applyBorder="1" applyAlignment="1">
      <alignment horizontal="left" vertical="center" wrapText="1"/>
    </xf>
    <xf numFmtId="3" fontId="125" fillId="50" borderId="93" xfId="0" applyNumberFormat="1" applyFont="1" applyFill="1" applyBorder="1" applyAlignment="1">
      <alignment horizontal="center" vertical="center" wrapText="1"/>
    </xf>
    <xf numFmtId="3" fontId="125" fillId="50" borderId="94" xfId="0" applyNumberFormat="1" applyFont="1" applyFill="1" applyBorder="1" applyAlignment="1">
      <alignment horizontal="center" vertical="center" wrapText="1"/>
    </xf>
    <xf numFmtId="3" fontId="125" fillId="50" borderId="95" xfId="0" applyNumberFormat="1" applyFont="1" applyFill="1" applyBorder="1" applyAlignment="1">
      <alignment horizontal="center" vertical="center" wrapText="1"/>
    </xf>
    <xf numFmtId="0" fontId="140" fillId="50" borderId="41" xfId="0" applyFont="1" applyFill="1" applyBorder="1" applyAlignment="1">
      <alignment horizontal="left" vertical="center" wrapText="1"/>
    </xf>
    <xf numFmtId="4" fontId="125" fillId="50" borderId="37" xfId="0" applyNumberFormat="1" applyFont="1" applyFill="1" applyBorder="1" applyAlignment="1">
      <alignment horizontal="center" vertical="center" wrapText="1"/>
    </xf>
    <xf numFmtId="4" fontId="125" fillId="50" borderId="44" xfId="0" applyNumberFormat="1" applyFont="1" applyFill="1" applyBorder="1" applyAlignment="1">
      <alignment horizontal="center" vertical="center" wrapText="1"/>
    </xf>
    <xf numFmtId="4" fontId="125" fillId="50" borderId="47" xfId="0" applyNumberFormat="1" applyFont="1" applyFill="1" applyBorder="1" applyAlignment="1">
      <alignment horizontal="center" vertical="center" wrapText="1"/>
    </xf>
    <xf numFmtId="0" fontId="140" fillId="50" borderId="87" xfId="0" applyFont="1" applyFill="1" applyBorder="1" applyAlignment="1">
      <alignment horizontal="left" vertical="center" wrapText="1"/>
    </xf>
    <xf numFmtId="3" fontId="125" fillId="50" borderId="88" xfId="0" applyNumberFormat="1" applyFont="1" applyFill="1" applyBorder="1" applyAlignment="1">
      <alignment horizontal="center" vertical="center" wrapText="1"/>
    </xf>
    <xf numFmtId="3" fontId="125" fillId="50" borderId="89" xfId="0" applyNumberFormat="1" applyFont="1" applyFill="1" applyBorder="1" applyAlignment="1">
      <alignment horizontal="center" vertical="center" wrapText="1"/>
    </xf>
    <xf numFmtId="3" fontId="125" fillId="50" borderId="90" xfId="0" applyNumberFormat="1" applyFont="1" applyFill="1" applyBorder="1" applyAlignment="1">
      <alignment horizontal="center" vertical="center" wrapText="1"/>
    </xf>
    <xf numFmtId="0" fontId="148" fillId="50" borderId="78" xfId="0" applyFont="1" applyFill="1" applyBorder="1" applyAlignment="1">
      <alignment horizontal="left" vertical="center" wrapText="1" indent="2"/>
    </xf>
    <xf numFmtId="4" fontId="146" fillId="50" borderId="12" xfId="0" applyNumberFormat="1" applyFont="1" applyFill="1" applyBorder="1" applyAlignment="1">
      <alignment horizontal="center" vertical="center" wrapText="1"/>
    </xf>
    <xf numFmtId="4" fontId="146" fillId="50" borderId="85" xfId="0" applyNumberFormat="1" applyFont="1" applyFill="1" applyBorder="1" applyAlignment="1">
      <alignment horizontal="center" vertical="center" wrapText="1"/>
    </xf>
    <xf numFmtId="4" fontId="146" fillId="50" borderId="79" xfId="0" applyNumberFormat="1" applyFont="1" applyFill="1" applyBorder="1" applyAlignment="1">
      <alignment horizontal="center" vertical="center" wrapText="1"/>
    </xf>
    <xf numFmtId="0" fontId="140" fillId="50" borderId="75" xfId="0" applyFont="1" applyFill="1" applyBorder="1" applyAlignment="1">
      <alignment horizontal="left" vertical="center" wrapText="1"/>
    </xf>
    <xf numFmtId="3" fontId="125" fillId="50" borderId="60" xfId="0" applyNumberFormat="1" applyFont="1" applyFill="1" applyBorder="1" applyAlignment="1">
      <alignment horizontal="center" vertical="center" wrapText="1"/>
    </xf>
    <xf numFmtId="3" fontId="125" fillId="50" borderId="83" xfId="0" applyNumberFormat="1" applyFont="1" applyFill="1" applyBorder="1" applyAlignment="1">
      <alignment horizontal="center" vertical="center" wrapText="1"/>
    </xf>
    <xf numFmtId="3" fontId="125" fillId="50" borderId="76" xfId="0" applyNumberFormat="1" applyFont="1" applyFill="1" applyBorder="1" applyAlignment="1">
      <alignment horizontal="center" vertical="center" wrapText="1"/>
    </xf>
    <xf numFmtId="0" fontId="148" fillId="50" borderId="80" xfId="0" applyFont="1" applyFill="1" applyBorder="1" applyAlignment="1">
      <alignment horizontal="left" vertical="center" wrapText="1" indent="2"/>
    </xf>
    <xf numFmtId="4" fontId="146" fillId="50" borderId="81" xfId="0" applyNumberFormat="1" applyFont="1" applyFill="1" applyBorder="1" applyAlignment="1">
      <alignment horizontal="center" vertical="center" wrapText="1"/>
    </xf>
    <xf numFmtId="4" fontId="146" fillId="50" borderId="86" xfId="0" applyNumberFormat="1" applyFont="1" applyFill="1" applyBorder="1" applyAlignment="1">
      <alignment horizontal="center" vertical="center" wrapText="1"/>
    </xf>
    <xf numFmtId="4" fontId="146" fillId="50" borderId="82" xfId="0" applyNumberFormat="1" applyFont="1" applyFill="1" applyBorder="1" applyAlignment="1">
      <alignment horizontal="center" vertical="center" wrapText="1"/>
    </xf>
    <xf numFmtId="3" fontId="147" fillId="48" borderId="46" xfId="0" applyNumberFormat="1" applyFont="1" applyFill="1" applyBorder="1" applyAlignment="1">
      <alignment horizontal="center" vertical="center"/>
    </xf>
    <xf numFmtId="0" fontId="125" fillId="52" borderId="96" xfId="0" applyFont="1" applyFill="1" applyBorder="1" applyAlignment="1">
      <alignment horizontal="left" vertical="center" wrapText="1"/>
    </xf>
    <xf numFmtId="1" fontId="125" fillId="52" borderId="97" xfId="0" applyNumberFormat="1" applyFont="1" applyFill="1" applyBorder="1" applyAlignment="1">
      <alignment horizontal="center" vertical="center" wrapText="1"/>
    </xf>
    <xf numFmtId="1" fontId="125" fillId="52" borderId="98" xfId="0" applyNumberFormat="1" applyFont="1" applyFill="1" applyBorder="1" applyAlignment="1">
      <alignment horizontal="center" vertical="center" wrapText="1"/>
    </xf>
    <xf numFmtId="1" fontId="125" fillId="52" borderId="99" xfId="0" applyNumberFormat="1" applyFont="1" applyFill="1" applyBorder="1" applyAlignment="1">
      <alignment horizontal="center" vertical="center" wrapText="1"/>
    </xf>
    <xf numFmtId="0" fontId="146" fillId="52" borderId="40" xfId="0" applyFont="1" applyFill="1" applyBorder="1" applyAlignment="1">
      <alignment horizontal="left" vertical="center" wrapText="1" indent="1"/>
    </xf>
    <xf numFmtId="1" fontId="125" fillId="52" borderId="0" xfId="0" applyNumberFormat="1" applyFont="1" applyFill="1" applyAlignment="1">
      <alignment horizontal="center" vertical="center" wrapText="1"/>
    </xf>
    <xf numFmtId="1" fontId="125" fillId="52" borderId="49" xfId="0" applyNumberFormat="1" applyFont="1" applyFill="1" applyBorder="1" applyAlignment="1">
      <alignment horizontal="center" vertical="center" wrapText="1"/>
    </xf>
    <xf numFmtId="1" fontId="125" fillId="52" borderId="46" xfId="0" applyNumberFormat="1" applyFont="1" applyFill="1" applyBorder="1" applyAlignment="1">
      <alignment horizontal="center" vertical="center" wrapText="1"/>
    </xf>
    <xf numFmtId="3" fontId="125" fillId="52" borderId="97" xfId="0" applyNumberFormat="1" applyFont="1" applyFill="1" applyBorder="1" applyAlignment="1">
      <alignment horizontal="center" vertical="center" wrapText="1"/>
    </xf>
    <xf numFmtId="3" fontId="125" fillId="52" borderId="98" xfId="0" applyNumberFormat="1" applyFont="1" applyFill="1" applyBorder="1" applyAlignment="1">
      <alignment horizontal="center" vertical="center" wrapText="1"/>
    </xf>
    <xf numFmtId="3" fontId="125" fillId="52" borderId="99" xfId="0" applyNumberFormat="1" applyFont="1" applyFill="1" applyBorder="1" applyAlignment="1">
      <alignment horizontal="center" vertical="center" wrapText="1"/>
    </xf>
    <xf numFmtId="0" fontId="146" fillId="52" borderId="96" xfId="0" applyFont="1" applyFill="1" applyBorder="1" applyAlignment="1">
      <alignment horizontal="left" vertical="center" wrapText="1" indent="1"/>
    </xf>
    <xf numFmtId="3" fontId="146" fillId="52" borderId="97" xfId="0" applyNumberFormat="1" applyFont="1" applyFill="1" applyBorder="1" applyAlignment="1">
      <alignment horizontal="center" vertical="center" wrapText="1"/>
    </xf>
    <xf numFmtId="3" fontId="146" fillId="52" borderId="98" xfId="0" applyNumberFormat="1" applyFont="1" applyFill="1" applyBorder="1" applyAlignment="1">
      <alignment horizontal="center" vertical="center" wrapText="1"/>
    </xf>
    <xf numFmtId="3" fontId="146" fillId="52" borderId="99" xfId="0" applyNumberFormat="1" applyFont="1" applyFill="1" applyBorder="1" applyAlignment="1">
      <alignment horizontal="center" vertical="center" wrapText="1"/>
    </xf>
    <xf numFmtId="0" fontId="133" fillId="52" borderId="96" xfId="0" applyFont="1" applyFill="1" applyBorder="1" applyAlignment="1">
      <alignment horizontal="left" vertical="center" wrapText="1"/>
    </xf>
    <xf numFmtId="3" fontId="133" fillId="52" borderId="97" xfId="0" applyNumberFormat="1" applyFont="1" applyFill="1" applyBorder="1" applyAlignment="1">
      <alignment horizontal="center" vertical="center" wrapText="1"/>
    </xf>
    <xf numFmtId="3" fontId="133" fillId="52" borderId="98" xfId="0" applyNumberFormat="1" applyFont="1" applyFill="1" applyBorder="1" applyAlignment="1">
      <alignment horizontal="center" vertical="center" wrapText="1"/>
    </xf>
    <xf numFmtId="3" fontId="133" fillId="52" borderId="99" xfId="0" applyNumberFormat="1" applyFont="1" applyFill="1" applyBorder="1" applyAlignment="1">
      <alignment horizontal="center" vertical="center" wrapText="1"/>
    </xf>
    <xf numFmtId="0" fontId="115" fillId="52" borderId="87" xfId="0" applyFont="1" applyFill="1" applyBorder="1" applyAlignment="1">
      <alignment horizontal="left" vertical="center" wrapText="1"/>
    </xf>
    <xf numFmtId="3" fontId="115" fillId="52" borderId="88" xfId="0" applyNumberFormat="1" applyFont="1" applyFill="1" applyBorder="1" applyAlignment="1">
      <alignment horizontal="center" vertical="center" wrapText="1"/>
    </xf>
    <xf numFmtId="3" fontId="115" fillId="52" borderId="89" xfId="0" applyNumberFormat="1" applyFont="1" applyFill="1" applyBorder="1" applyAlignment="1">
      <alignment horizontal="center" vertical="center" wrapText="1"/>
    </xf>
    <xf numFmtId="3" fontId="115" fillId="52" borderId="90" xfId="0" applyNumberFormat="1" applyFont="1" applyFill="1" applyBorder="1" applyAlignment="1">
      <alignment horizontal="center" vertical="center" wrapText="1"/>
    </xf>
    <xf numFmtId="0" fontId="115" fillId="52" borderId="80" xfId="0" applyFont="1" applyFill="1" applyBorder="1" applyAlignment="1">
      <alignment horizontal="left" vertical="center" wrapText="1"/>
    </xf>
    <xf numFmtId="3" fontId="115" fillId="52" borderId="43" xfId="0" applyNumberFormat="1" applyFont="1" applyFill="1" applyBorder="1" applyAlignment="1">
      <alignment horizontal="center" vertical="center" wrapText="1"/>
    </xf>
    <xf numFmtId="3" fontId="115" fillId="52" borderId="51" xfId="0" applyNumberFormat="1" applyFont="1" applyFill="1" applyBorder="1" applyAlignment="1">
      <alignment horizontal="center" vertical="center" wrapText="1"/>
    </xf>
    <xf numFmtId="3" fontId="115" fillId="52" borderId="50" xfId="0" applyNumberFormat="1" applyFont="1" applyFill="1" applyBorder="1" applyAlignment="1">
      <alignment horizontal="center" vertical="center" wrapText="1"/>
    </xf>
    <xf numFmtId="1" fontId="115" fillId="34" borderId="0" xfId="0" applyNumberFormat="1" applyFont="1" applyFill="1" applyAlignment="1">
      <alignment horizontal="center" vertical="center"/>
    </xf>
    <xf numFmtId="2" fontId="115" fillId="34" borderId="0" xfId="0" applyNumberFormat="1" applyFont="1" applyFill="1" applyAlignment="1">
      <alignment horizontal="center" vertical="center"/>
    </xf>
    <xf numFmtId="1" fontId="115" fillId="0" borderId="0" xfId="0" applyNumberFormat="1" applyFont="1" applyAlignment="1">
      <alignment horizontal="center" vertical="center"/>
    </xf>
    <xf numFmtId="1" fontId="115" fillId="48" borderId="46" xfId="0" applyNumberFormat="1" applyFont="1" applyFill="1" applyBorder="1" applyAlignment="1">
      <alignment horizontal="center" vertical="center"/>
    </xf>
    <xf numFmtId="2" fontId="115" fillId="0" borderId="0" xfId="0" applyNumberFormat="1" applyFont="1" applyAlignment="1">
      <alignment horizontal="center" vertical="center"/>
    </xf>
    <xf numFmtId="2" fontId="115" fillId="48" borderId="46" xfId="0" applyNumberFormat="1" applyFont="1" applyFill="1" applyBorder="1" applyAlignment="1">
      <alignment horizontal="center" vertical="center"/>
    </xf>
    <xf numFmtId="2" fontId="125" fillId="0" borderId="0" xfId="0" applyNumberFormat="1" applyFont="1" applyAlignment="1">
      <alignment horizontal="left"/>
    </xf>
    <xf numFmtId="10" fontId="125" fillId="50" borderId="43" xfId="132" applyNumberFormat="1" applyFont="1" applyFill="1" applyBorder="1" applyAlignment="1">
      <alignment horizontal="center" vertical="center" wrapText="1"/>
    </xf>
    <xf numFmtId="1" fontId="115" fillId="34" borderId="49" xfId="0" applyNumberFormat="1" applyFont="1" applyFill="1" applyBorder="1" applyAlignment="1">
      <alignment horizontal="center" vertical="center"/>
    </xf>
    <xf numFmtId="0" fontId="125" fillId="0" borderId="40" xfId="0" applyFont="1" applyBorder="1" applyAlignment="1">
      <alignment horizontal="left"/>
    </xf>
    <xf numFmtId="2" fontId="125" fillId="0" borderId="49" xfId="0" applyNumberFormat="1" applyFont="1" applyBorder="1" applyAlignment="1">
      <alignment horizontal="left"/>
    </xf>
    <xf numFmtId="2" fontId="125" fillId="0" borderId="46" xfId="0" applyNumberFormat="1" applyFont="1" applyBorder="1" applyAlignment="1">
      <alignment horizontal="left"/>
    </xf>
    <xf numFmtId="0" fontId="140" fillId="50" borderId="96" xfId="0" applyFont="1" applyFill="1" applyBorder="1" applyAlignment="1">
      <alignment horizontal="left" vertical="center" wrapText="1"/>
    </xf>
    <xf numFmtId="1" fontId="125" fillId="50" borderId="97" xfId="0" applyNumberFormat="1" applyFont="1" applyFill="1" applyBorder="1" applyAlignment="1">
      <alignment horizontal="center" vertical="center" wrapText="1"/>
    </xf>
    <xf numFmtId="1" fontId="125" fillId="50" borderId="98" xfId="0" applyNumberFormat="1" applyFont="1" applyFill="1" applyBorder="1" applyAlignment="1">
      <alignment horizontal="center" vertical="center" wrapText="1"/>
    </xf>
    <xf numFmtId="1" fontId="125" fillId="50" borderId="99" xfId="0" applyNumberFormat="1" applyFont="1" applyFill="1" applyBorder="1" applyAlignment="1">
      <alignment horizontal="center" vertical="center" wrapText="1"/>
    </xf>
    <xf numFmtId="0" fontId="140" fillId="34" borderId="40" xfId="0" applyFont="1" applyFill="1" applyBorder="1" applyAlignment="1">
      <alignment horizontal="left" vertical="center" wrapText="1"/>
    </xf>
    <xf numFmtId="1" fontId="125" fillId="34" borderId="0" xfId="0" applyNumberFormat="1" applyFont="1" applyFill="1" applyAlignment="1">
      <alignment horizontal="center" vertical="center" wrapText="1"/>
    </xf>
    <xf numFmtId="1" fontId="125" fillId="34" borderId="49" xfId="0" applyNumberFormat="1" applyFont="1" applyFill="1" applyBorder="1" applyAlignment="1">
      <alignment horizontal="center" vertical="center" wrapText="1"/>
    </xf>
    <xf numFmtId="1" fontId="125" fillId="34" borderId="46" xfId="0" applyNumberFormat="1" applyFont="1" applyFill="1" applyBorder="1" applyAlignment="1">
      <alignment horizontal="center" vertical="center" wrapText="1"/>
    </xf>
    <xf numFmtId="0" fontId="140" fillId="50" borderId="42" xfId="0" applyFont="1" applyFill="1" applyBorder="1" applyAlignment="1">
      <alignment horizontal="left" vertical="center" wrapText="1"/>
    </xf>
    <xf numFmtId="10" fontId="125" fillId="50" borderId="51" xfId="132" applyNumberFormat="1" applyFont="1" applyFill="1" applyBorder="1" applyAlignment="1">
      <alignment horizontal="center" vertical="center" wrapText="1"/>
    </xf>
    <xf numFmtId="10" fontId="125" fillId="50" borderId="50" xfId="132" applyNumberFormat="1" applyFont="1" applyFill="1" applyBorder="1" applyAlignment="1">
      <alignment horizontal="center" vertical="center" wrapText="1"/>
    </xf>
    <xf numFmtId="10" fontId="125" fillId="50" borderId="97" xfId="132" applyNumberFormat="1" applyFont="1" applyFill="1" applyBorder="1" applyAlignment="1">
      <alignment horizontal="center" vertical="center" wrapText="1"/>
    </xf>
    <xf numFmtId="10" fontId="125" fillId="50" borderId="98" xfId="132" applyNumberFormat="1" applyFont="1" applyFill="1" applyBorder="1" applyAlignment="1">
      <alignment horizontal="center" vertical="center" wrapText="1"/>
    </xf>
    <xf numFmtId="10" fontId="125" fillId="50" borderId="99" xfId="132" applyNumberFormat="1" applyFont="1" applyFill="1" applyBorder="1" applyAlignment="1">
      <alignment horizontal="center" vertical="center" wrapText="1"/>
    </xf>
    <xf numFmtId="2" fontId="125" fillId="0" borderId="97" xfId="0" applyNumberFormat="1" applyFont="1" applyBorder="1" applyAlignment="1">
      <alignment horizontal="left"/>
    </xf>
    <xf numFmtId="2" fontId="125" fillId="0" borderId="98" xfId="0" applyNumberFormat="1" applyFont="1" applyBorder="1" applyAlignment="1">
      <alignment horizontal="left"/>
    </xf>
    <xf numFmtId="2" fontId="125" fillId="0" borderId="99" xfId="0" applyNumberFormat="1" applyFont="1" applyBorder="1" applyAlignment="1">
      <alignment horizontal="left"/>
    </xf>
    <xf numFmtId="0" fontId="129" fillId="0" borderId="0" xfId="184" applyFont="1" applyAlignment="1">
      <alignment horizontal="center" vertical="center"/>
    </xf>
    <xf numFmtId="0" fontId="150" fillId="0" borderId="0" xfId="184" applyFont="1" applyAlignment="1">
      <alignment vertical="center"/>
    </xf>
    <xf numFmtId="0" fontId="114" fillId="0" borderId="0" xfId="184" applyFont="1" applyAlignment="1">
      <alignment horizontal="center" vertical="center"/>
    </xf>
    <xf numFmtId="0" fontId="140" fillId="34" borderId="0" xfId="0" applyFont="1" applyFill="1" applyAlignment="1">
      <alignment horizontal="left" vertical="center" wrapText="1"/>
    </xf>
    <xf numFmtId="1" fontId="125" fillId="34" borderId="0" xfId="132" applyNumberFormat="1" applyFont="1" applyFill="1" applyBorder="1" applyAlignment="1">
      <alignment horizontal="center" vertical="center" wrapText="1"/>
    </xf>
    <xf numFmtId="0" fontId="133" fillId="50" borderId="39" xfId="0" applyFont="1" applyFill="1" applyBorder="1" applyAlignment="1">
      <alignment vertical="center"/>
    </xf>
    <xf numFmtId="0" fontId="115" fillId="0" borderId="101" xfId="0" applyFont="1" applyBorder="1" applyAlignment="1">
      <alignment horizontal="left" vertical="center" wrapText="1"/>
    </xf>
    <xf numFmtId="1" fontId="115" fillId="34" borderId="101" xfId="0" applyNumberFormat="1" applyFont="1" applyFill="1" applyBorder="1" applyAlignment="1">
      <alignment horizontal="center" vertical="center"/>
    </xf>
    <xf numFmtId="1" fontId="115" fillId="0" borderId="101" xfId="0" applyNumberFormat="1" applyFont="1" applyBorder="1" applyAlignment="1">
      <alignment horizontal="center" vertical="center"/>
    </xf>
    <xf numFmtId="1" fontId="115" fillId="48" borderId="103" xfId="0" applyNumberFormat="1" applyFont="1" applyFill="1" applyBorder="1" applyAlignment="1">
      <alignment horizontal="center" vertical="center"/>
    </xf>
    <xf numFmtId="0" fontId="115" fillId="0" borderId="105" xfId="0" applyFont="1" applyBorder="1" applyAlignment="1">
      <alignment horizontal="left" vertical="center" wrapText="1"/>
    </xf>
    <xf numFmtId="1" fontId="115" fillId="34" borderId="105" xfId="0" applyNumberFormat="1" applyFont="1" applyFill="1" applyBorder="1" applyAlignment="1">
      <alignment horizontal="center" vertical="center"/>
    </xf>
    <xf numFmtId="1" fontId="115" fillId="0" borderId="105" xfId="0" applyNumberFormat="1" applyFont="1" applyBorder="1" applyAlignment="1">
      <alignment horizontal="center" vertical="center"/>
    </xf>
    <xf numFmtId="1" fontId="115" fillId="48" borderId="107" xfId="0" applyNumberFormat="1" applyFont="1" applyFill="1" applyBorder="1" applyAlignment="1">
      <alignment horizontal="center" vertical="center"/>
    </xf>
    <xf numFmtId="0" fontId="140" fillId="51" borderId="42" xfId="0" applyFont="1" applyFill="1" applyBorder="1" applyAlignment="1">
      <alignment horizontal="left" vertical="center" wrapText="1"/>
    </xf>
    <xf numFmtId="0" fontId="140" fillId="51" borderId="43" xfId="0" applyFont="1" applyFill="1" applyBorder="1" applyAlignment="1">
      <alignment horizontal="left" vertical="center" wrapText="1"/>
    </xf>
    <xf numFmtId="1" fontId="125" fillId="51" borderId="43" xfId="132" applyNumberFormat="1" applyFont="1" applyFill="1" applyBorder="1" applyAlignment="1">
      <alignment horizontal="center" vertical="center" wrapText="1"/>
    </xf>
    <xf numFmtId="1" fontId="125" fillId="51" borderId="51" xfId="132" applyNumberFormat="1" applyFont="1" applyFill="1" applyBorder="1" applyAlignment="1">
      <alignment horizontal="center" vertical="center" wrapText="1"/>
    </xf>
    <xf numFmtId="1" fontId="125" fillId="51" borderId="50" xfId="132" applyNumberFormat="1" applyFont="1" applyFill="1" applyBorder="1" applyAlignment="1">
      <alignment horizontal="center" vertical="center" wrapText="1"/>
    </xf>
    <xf numFmtId="0" fontId="115" fillId="51" borderId="96" xfId="0" applyFont="1" applyFill="1" applyBorder="1" applyAlignment="1">
      <alignment horizontal="left" vertical="center" wrapText="1"/>
    </xf>
    <xf numFmtId="0" fontId="140" fillId="34" borderId="97" xfId="0" applyFont="1" applyFill="1" applyBorder="1" applyAlignment="1">
      <alignment horizontal="left" vertical="center" wrapText="1"/>
    </xf>
    <xf numFmtId="1" fontId="115" fillId="34" borderId="97" xfId="0" applyNumberFormat="1" applyFont="1" applyFill="1" applyBorder="1" applyAlignment="1">
      <alignment horizontal="center" vertical="center" wrapText="1"/>
    </xf>
    <xf numFmtId="1" fontId="115" fillId="0" borderId="97" xfId="0" applyNumberFormat="1" applyFont="1" applyBorder="1" applyAlignment="1">
      <alignment horizontal="center" vertical="center" wrapText="1"/>
    </xf>
    <xf numFmtId="1" fontId="115" fillId="48" borderId="99" xfId="0" applyNumberFormat="1" applyFont="1" applyFill="1" applyBorder="1" applyAlignment="1">
      <alignment horizontal="center" vertical="center" wrapText="1"/>
    </xf>
    <xf numFmtId="0" fontId="151" fillId="0" borderId="0" xfId="184" applyFont="1" applyAlignment="1">
      <alignment horizontal="center" vertical="center"/>
    </xf>
    <xf numFmtId="0" fontId="115" fillId="0" borderId="0" xfId="0" applyFont="1" applyAlignment="1">
      <alignment horizontal="center" vertical="center"/>
    </xf>
    <xf numFmtId="1" fontId="115" fillId="34" borderId="0" xfId="132" applyNumberFormat="1" applyFont="1" applyFill="1" applyBorder="1" applyAlignment="1">
      <alignment horizontal="center" vertical="center"/>
    </xf>
    <xf numFmtId="1" fontId="125" fillId="34" borderId="0" xfId="0" applyNumberFormat="1" applyFont="1" applyFill="1" applyAlignment="1">
      <alignment vertical="center"/>
    </xf>
    <xf numFmtId="1" fontId="125" fillId="34" borderId="32" xfId="0" applyNumberFormat="1" applyFont="1" applyFill="1" applyBorder="1" applyAlignment="1">
      <alignment vertical="center"/>
    </xf>
    <xf numFmtId="169" fontId="125" fillId="37" borderId="0" xfId="132" applyNumberFormat="1" applyFont="1" applyFill="1" applyBorder="1" applyAlignment="1">
      <alignment horizontal="center" vertical="center" wrapText="1"/>
    </xf>
    <xf numFmtId="169" fontId="125" fillId="34" borderId="0" xfId="132" applyNumberFormat="1" applyFont="1" applyFill="1" applyBorder="1" applyAlignment="1">
      <alignment vertical="center"/>
    </xf>
    <xf numFmtId="9" fontId="125" fillId="37" borderId="0" xfId="132" applyFont="1" applyFill="1" applyBorder="1" applyAlignment="1">
      <alignment horizontal="center" vertical="center" wrapText="1"/>
    </xf>
    <xf numFmtId="9" fontId="125" fillId="34" borderId="0" xfId="132" applyFont="1" applyFill="1" applyBorder="1" applyAlignment="1">
      <alignment vertical="center"/>
    </xf>
    <xf numFmtId="0" fontId="125" fillId="50" borderId="13" xfId="0" applyFont="1" applyFill="1" applyBorder="1" applyAlignment="1">
      <alignment horizontal="center" vertical="center" wrapText="1"/>
    </xf>
    <xf numFmtId="3" fontId="115" fillId="48" borderId="14" xfId="0" applyNumberFormat="1" applyFont="1" applyFill="1" applyBorder="1" applyAlignment="1">
      <alignment horizontal="center" vertical="center"/>
    </xf>
    <xf numFmtId="1" fontId="115" fillId="48" borderId="14" xfId="132" applyNumberFormat="1" applyFont="1" applyFill="1" applyBorder="1" applyAlignment="1">
      <alignment horizontal="center" vertical="center"/>
    </xf>
    <xf numFmtId="1" fontId="115" fillId="48" borderId="14" xfId="0" applyNumberFormat="1" applyFont="1" applyFill="1" applyBorder="1" applyAlignment="1">
      <alignment horizontal="center" vertical="center"/>
    </xf>
    <xf numFmtId="1" fontId="125" fillId="48" borderId="29" xfId="0" applyNumberFormat="1" applyFont="1" applyFill="1" applyBorder="1" applyAlignment="1">
      <alignment horizontal="center" vertical="center"/>
    </xf>
    <xf numFmtId="1" fontId="115" fillId="48" borderId="29" xfId="0" applyNumberFormat="1" applyFont="1" applyFill="1" applyBorder="1" applyAlignment="1">
      <alignment horizontal="center" vertical="center"/>
    </xf>
    <xf numFmtId="3" fontId="125" fillId="48" borderId="29" xfId="0" applyNumberFormat="1" applyFont="1" applyFill="1" applyBorder="1" applyAlignment="1">
      <alignment horizontal="center" vertical="center"/>
    </xf>
    <xf numFmtId="169" fontId="125" fillId="48" borderId="14" xfId="132" applyNumberFormat="1" applyFont="1" applyFill="1" applyBorder="1" applyAlignment="1">
      <alignment horizontal="center" vertical="center"/>
    </xf>
    <xf numFmtId="9" fontId="125" fillId="48" borderId="14" xfId="132" applyFont="1" applyFill="1" applyBorder="1" applyAlignment="1">
      <alignment horizontal="center" vertical="center"/>
    </xf>
    <xf numFmtId="169" fontId="125" fillId="48" borderId="15" xfId="132" applyNumberFormat="1" applyFont="1" applyFill="1" applyBorder="1" applyAlignment="1">
      <alignment horizontal="center" vertical="center"/>
    </xf>
    <xf numFmtId="0" fontId="125" fillId="34" borderId="14" xfId="0" applyFont="1" applyFill="1" applyBorder="1" applyAlignment="1">
      <alignment vertical="center"/>
    </xf>
    <xf numFmtId="1" fontId="125" fillId="34" borderId="14" xfId="0" applyNumberFormat="1" applyFont="1" applyFill="1" applyBorder="1" applyAlignment="1">
      <alignment vertical="center"/>
    </xf>
    <xf numFmtId="169" fontId="125" fillId="34" borderId="14" xfId="132" applyNumberFormat="1" applyFont="1" applyFill="1" applyBorder="1" applyAlignment="1">
      <alignment vertical="center"/>
    </xf>
    <xf numFmtId="0" fontId="125" fillId="34" borderId="34" xfId="0" applyFont="1" applyFill="1" applyBorder="1" applyAlignment="1">
      <alignment vertical="center"/>
    </xf>
    <xf numFmtId="169" fontId="125" fillId="34" borderId="34" xfId="132" applyNumberFormat="1" applyFont="1" applyFill="1" applyBorder="1" applyAlignment="1">
      <alignment vertical="center"/>
    </xf>
    <xf numFmtId="1" fontId="115" fillId="37" borderId="0" xfId="0" applyNumberFormat="1" applyFont="1" applyFill="1" applyAlignment="1">
      <alignment horizontal="center" vertical="center" wrapText="1"/>
    </xf>
    <xf numFmtId="0" fontId="125" fillId="37" borderId="40" xfId="0" applyFont="1" applyFill="1" applyBorder="1" applyAlignment="1">
      <alignment horizontal="left" vertical="center" wrapText="1"/>
    </xf>
    <xf numFmtId="1" fontId="125" fillId="37" borderId="0" xfId="0" applyNumberFormat="1" applyFont="1" applyFill="1" applyAlignment="1">
      <alignment horizontal="center" vertical="center" wrapText="1"/>
    </xf>
    <xf numFmtId="169" fontId="125" fillId="37" borderId="43" xfId="132" applyNumberFormat="1" applyFont="1" applyFill="1" applyBorder="1" applyAlignment="1">
      <alignment horizontal="center" vertical="center" wrapText="1"/>
    </xf>
    <xf numFmtId="0" fontId="125" fillId="37" borderId="96" xfId="0" applyFont="1" applyFill="1" applyBorder="1" applyAlignment="1">
      <alignment horizontal="left" vertical="center" wrapText="1"/>
    </xf>
    <xf numFmtId="3" fontId="125" fillId="37" borderId="97" xfId="0" applyNumberFormat="1" applyFont="1" applyFill="1" applyBorder="1" applyAlignment="1">
      <alignment horizontal="center" vertical="center" wrapText="1"/>
    </xf>
    <xf numFmtId="1" fontId="125" fillId="37" borderId="97" xfId="0" applyNumberFormat="1" applyFont="1" applyFill="1" applyBorder="1" applyAlignment="1">
      <alignment horizontal="center" vertical="center" wrapText="1"/>
    </xf>
    <xf numFmtId="0" fontId="125" fillId="34" borderId="96" xfId="0" applyFont="1" applyFill="1" applyBorder="1" applyAlignment="1">
      <alignment horizontal="left" vertical="center" wrapText="1"/>
    </xf>
    <xf numFmtId="3" fontId="125" fillId="0" borderId="97" xfId="0" applyNumberFormat="1" applyFont="1" applyBorder="1" applyAlignment="1">
      <alignment horizontal="center" vertical="center"/>
    </xf>
    <xf numFmtId="3" fontId="125" fillId="48" borderId="99" xfId="0" applyNumberFormat="1" applyFont="1" applyFill="1" applyBorder="1" applyAlignment="1">
      <alignment horizontal="center" vertical="center"/>
    </xf>
    <xf numFmtId="1" fontId="115" fillId="34" borderId="49" xfId="132" applyNumberFormat="1" applyFont="1" applyFill="1" applyBorder="1" applyAlignment="1">
      <alignment horizontal="center" vertical="center"/>
    </xf>
    <xf numFmtId="3" fontId="125" fillId="0" borderId="98" xfId="0" applyNumberFormat="1" applyFont="1" applyBorder="1" applyAlignment="1">
      <alignment horizontal="center" vertical="center"/>
    </xf>
    <xf numFmtId="1" fontId="115" fillId="37" borderId="49" xfId="0" applyNumberFormat="1" applyFont="1" applyFill="1" applyBorder="1" applyAlignment="1">
      <alignment horizontal="center" vertical="center" wrapText="1"/>
    </xf>
    <xf numFmtId="1" fontId="125" fillId="37" borderId="98" xfId="0" applyNumberFormat="1" applyFont="1" applyFill="1" applyBorder="1" applyAlignment="1">
      <alignment horizontal="center" vertical="center" wrapText="1"/>
    </xf>
    <xf numFmtId="1" fontId="125" fillId="37" borderId="49" xfId="0" applyNumberFormat="1" applyFont="1" applyFill="1" applyBorder="1" applyAlignment="1">
      <alignment horizontal="center" vertical="center" wrapText="1"/>
    </xf>
    <xf numFmtId="3" fontId="125" fillId="37" borderId="98" xfId="0" applyNumberFormat="1" applyFont="1" applyFill="1" applyBorder="1" applyAlignment="1">
      <alignment horizontal="center" vertical="center" wrapText="1"/>
    </xf>
    <xf numFmtId="169" fontId="125" fillId="37" borderId="49" xfId="132" applyNumberFormat="1" applyFont="1" applyFill="1" applyBorder="1" applyAlignment="1">
      <alignment horizontal="center" vertical="center" wrapText="1"/>
    </xf>
    <xf numFmtId="9" fontId="125" fillId="37" borderId="49" xfId="132" applyFont="1" applyFill="1" applyBorder="1" applyAlignment="1">
      <alignment horizontal="center" vertical="center" wrapText="1"/>
    </xf>
    <xf numFmtId="169" fontId="125" fillId="37" borderId="51" xfId="132" applyNumberFormat="1" applyFont="1" applyFill="1" applyBorder="1" applyAlignment="1">
      <alignment horizontal="center" vertical="center" wrapText="1"/>
    </xf>
    <xf numFmtId="0" fontId="121" fillId="0" borderId="0" xfId="186" applyFont="1"/>
    <xf numFmtId="0" fontId="117" fillId="0" borderId="0" xfId="39" applyFont="1" applyBorder="1" applyAlignment="1" applyProtection="1">
      <alignment horizontal="right"/>
    </xf>
    <xf numFmtId="0" fontId="120" fillId="0" borderId="0" xfId="186" applyFont="1"/>
    <xf numFmtId="0" fontId="124" fillId="0" borderId="0" xfId="186" applyFont="1" applyAlignment="1">
      <alignment horizontal="center" vertical="center" wrapText="1"/>
    </xf>
    <xf numFmtId="0" fontId="152" fillId="34" borderId="0" xfId="186" applyFont="1" applyFill="1"/>
    <xf numFmtId="0" fontId="116" fillId="0" borderId="0" xfId="186" applyFont="1"/>
    <xf numFmtId="9" fontId="120" fillId="0" borderId="0" xfId="132" applyFont="1" applyAlignment="1">
      <alignment horizontal="left" vertical="center"/>
    </xf>
    <xf numFmtId="3" fontId="125" fillId="34" borderId="0" xfId="186" applyNumberFormat="1" applyFont="1" applyFill="1" applyAlignment="1">
      <alignment horizontal="center"/>
    </xf>
    <xf numFmtId="3" fontId="115" fillId="34" borderId="0" xfId="186" applyNumberFormat="1" applyFont="1" applyFill="1" applyAlignment="1">
      <alignment horizontal="center"/>
    </xf>
    <xf numFmtId="9" fontId="114" fillId="0" borderId="0" xfId="132" applyFont="1" applyAlignment="1">
      <alignment horizontal="left" vertical="center"/>
    </xf>
    <xf numFmtId="0" fontId="132" fillId="50" borderId="38" xfId="186" applyFont="1" applyFill="1" applyBorder="1" applyAlignment="1">
      <alignment horizontal="left" vertical="center"/>
    </xf>
    <xf numFmtId="173" fontId="125" fillId="50" borderId="39" xfId="186" applyNumberFormat="1" applyFont="1" applyFill="1" applyBorder="1" applyAlignment="1">
      <alignment horizontal="center" vertical="center" wrapText="1"/>
    </xf>
    <xf numFmtId="173" fontId="125" fillId="50" borderId="45" xfId="186" applyNumberFormat="1" applyFont="1" applyFill="1" applyBorder="1" applyAlignment="1">
      <alignment horizontal="center" vertical="center" wrapText="1"/>
    </xf>
    <xf numFmtId="0" fontId="132" fillId="34" borderId="40" xfId="186" applyFont="1" applyFill="1" applyBorder="1"/>
    <xf numFmtId="3" fontId="125" fillId="0" borderId="0" xfId="186" applyNumberFormat="1" applyFont="1" applyAlignment="1">
      <alignment horizontal="center"/>
    </xf>
    <xf numFmtId="3" fontId="125" fillId="48" borderId="46" xfId="186" applyNumberFormat="1" applyFont="1" applyFill="1" applyBorder="1" applyAlignment="1">
      <alignment horizontal="center"/>
    </xf>
    <xf numFmtId="0" fontId="125" fillId="34" borderId="40" xfId="186" applyFont="1" applyFill="1" applyBorder="1"/>
    <xf numFmtId="0" fontId="115" fillId="34" borderId="40" xfId="186" applyFont="1" applyFill="1" applyBorder="1"/>
    <xf numFmtId="3" fontId="115" fillId="0" borderId="0" xfId="186" applyNumberFormat="1" applyFont="1" applyAlignment="1">
      <alignment horizontal="center"/>
    </xf>
    <xf numFmtId="3" fontId="115" fillId="48" borderId="46" xfId="186" applyNumberFormat="1" applyFont="1" applyFill="1" applyBorder="1" applyAlignment="1">
      <alignment horizontal="center"/>
    </xf>
    <xf numFmtId="0" fontId="125" fillId="34" borderId="42" xfId="186" applyFont="1" applyFill="1" applyBorder="1"/>
    <xf numFmtId="169" fontId="125" fillId="34" borderId="43" xfId="132" applyNumberFormat="1" applyFont="1" applyFill="1" applyBorder="1" applyAlignment="1">
      <alignment horizontal="center"/>
    </xf>
    <xf numFmtId="169" fontId="125" fillId="0" borderId="43" xfId="132" applyNumberFormat="1" applyFont="1" applyFill="1" applyBorder="1" applyAlignment="1">
      <alignment horizontal="center"/>
    </xf>
    <xf numFmtId="169" fontId="125" fillId="48" borderId="50" xfId="132" applyNumberFormat="1" applyFont="1" applyFill="1" applyBorder="1" applyAlignment="1">
      <alignment horizontal="center"/>
    </xf>
    <xf numFmtId="173" fontId="125" fillId="50" borderId="48" xfId="186" applyNumberFormat="1" applyFont="1" applyFill="1" applyBorder="1" applyAlignment="1">
      <alignment horizontal="center" vertical="center" wrapText="1"/>
    </xf>
    <xf numFmtId="0" fontId="119" fillId="0" borderId="0" xfId="39" applyFont="1" applyBorder="1" applyAlignment="1" applyProtection="1">
      <alignment horizontal="right"/>
    </xf>
    <xf numFmtId="169" fontId="125" fillId="34" borderId="0" xfId="132" applyNumberFormat="1" applyFont="1" applyFill="1" applyBorder="1" applyAlignment="1">
      <alignment horizontal="center"/>
    </xf>
    <xf numFmtId="169" fontId="125" fillId="0" borderId="0" xfId="132" applyNumberFormat="1" applyFont="1" applyFill="1" applyBorder="1" applyAlignment="1">
      <alignment horizontal="center"/>
    </xf>
    <xf numFmtId="169" fontId="115" fillId="34" borderId="0" xfId="132" applyNumberFormat="1" applyFont="1" applyFill="1" applyBorder="1" applyAlignment="1">
      <alignment horizontal="center"/>
    </xf>
    <xf numFmtId="169" fontId="115" fillId="0" borderId="0" xfId="132" applyNumberFormat="1" applyFont="1" applyFill="1" applyBorder="1" applyAlignment="1">
      <alignment horizontal="center"/>
    </xf>
    <xf numFmtId="0" fontId="153" fillId="34" borderId="0" xfId="186" applyFont="1" applyFill="1"/>
    <xf numFmtId="0" fontId="115" fillId="0" borderId="0" xfId="186" applyFont="1"/>
    <xf numFmtId="0" fontId="125" fillId="0" borderId="0" xfId="186" applyFont="1" applyAlignment="1">
      <alignment horizontal="center" vertical="center" wrapText="1"/>
    </xf>
    <xf numFmtId="0" fontId="115" fillId="34" borderId="40" xfId="186" applyFont="1" applyFill="1" applyBorder="1" applyAlignment="1">
      <alignment horizontal="left" vertical="center"/>
    </xf>
    <xf numFmtId="0" fontId="125" fillId="34" borderId="40" xfId="186" applyFont="1" applyFill="1" applyBorder="1" applyAlignment="1">
      <alignment horizontal="left" vertical="center"/>
    </xf>
    <xf numFmtId="169" fontId="125" fillId="48" borderId="46" xfId="132" applyNumberFormat="1" applyFont="1" applyFill="1" applyBorder="1" applyAlignment="1">
      <alignment horizontal="center"/>
    </xf>
    <xf numFmtId="169" fontId="115" fillId="48" borderId="46" xfId="132" applyNumberFormat="1" applyFont="1" applyFill="1" applyBorder="1" applyAlignment="1">
      <alignment horizontal="center"/>
    </xf>
    <xf numFmtId="0" fontId="132" fillId="0" borderId="40" xfId="186" applyFont="1" applyBorder="1"/>
    <xf numFmtId="0" fontId="125" fillId="0" borderId="40" xfId="186" applyFont="1" applyBorder="1"/>
    <xf numFmtId="0" fontId="115" fillId="0" borderId="40" xfId="186" applyFont="1" applyBorder="1"/>
    <xf numFmtId="0" fontId="115" fillId="34" borderId="0" xfId="186" applyFont="1" applyFill="1"/>
    <xf numFmtId="0" fontId="150" fillId="0" borderId="0" xfId="184" applyFont="1"/>
    <xf numFmtId="174" fontId="150" fillId="0" borderId="0" xfId="184" applyNumberFormat="1" applyFont="1"/>
    <xf numFmtId="0" fontId="154" fillId="0" borderId="0" xfId="184" applyFont="1"/>
    <xf numFmtId="174" fontId="154" fillId="0" borderId="0" xfId="184" applyNumberFormat="1" applyFont="1"/>
    <xf numFmtId="0" fontId="115" fillId="34" borderId="42" xfId="186" applyFont="1" applyFill="1" applyBorder="1" applyAlignment="1">
      <alignment horizontal="left" vertical="center"/>
    </xf>
    <xf numFmtId="3" fontId="115" fillId="34" borderId="43" xfId="186" applyNumberFormat="1" applyFont="1" applyFill="1" applyBorder="1" applyAlignment="1">
      <alignment horizontal="center"/>
    </xf>
    <xf numFmtId="3" fontId="115" fillId="0" borderId="43" xfId="186" applyNumberFormat="1" applyFont="1" applyBorder="1" applyAlignment="1">
      <alignment horizontal="center"/>
    </xf>
    <xf numFmtId="3" fontId="115" fillId="48" borderId="50" xfId="186" applyNumberFormat="1" applyFont="1" applyFill="1" applyBorder="1" applyAlignment="1">
      <alignment horizontal="center"/>
    </xf>
    <xf numFmtId="3" fontId="125" fillId="36" borderId="0" xfId="186" applyNumberFormat="1" applyFont="1" applyFill="1" applyAlignment="1">
      <alignment horizontal="center"/>
    </xf>
    <xf numFmtId="0" fontId="125" fillId="36" borderId="0" xfId="186" applyFont="1" applyFill="1" applyAlignment="1">
      <alignment horizontal="center"/>
    </xf>
    <xf numFmtId="3" fontId="115" fillId="36" borderId="0" xfId="186" applyNumberFormat="1" applyFont="1" applyFill="1" applyAlignment="1">
      <alignment horizontal="center"/>
    </xf>
    <xf numFmtId="0" fontId="153" fillId="0" borderId="0" xfId="186" applyFont="1"/>
    <xf numFmtId="0" fontId="125" fillId="50" borderId="38" xfId="186" applyFont="1" applyFill="1" applyBorder="1" applyAlignment="1">
      <alignment horizontal="left" vertical="center"/>
    </xf>
    <xf numFmtId="3" fontId="125" fillId="54" borderId="46" xfId="186" applyNumberFormat="1" applyFont="1" applyFill="1" applyBorder="1" applyAlignment="1">
      <alignment horizontal="center"/>
    </xf>
    <xf numFmtId="0" fontId="125" fillId="0" borderId="0" xfId="186" applyFont="1" applyAlignment="1">
      <alignment horizontal="center"/>
    </xf>
    <xf numFmtId="0" fontId="125" fillId="54" borderId="46" xfId="186" applyFont="1" applyFill="1" applyBorder="1" applyAlignment="1">
      <alignment horizontal="center"/>
    </xf>
    <xf numFmtId="0" fontId="125" fillId="0" borderId="40" xfId="186" applyFont="1" applyBorder="1" applyAlignment="1">
      <alignment horizontal="left" vertical="center"/>
    </xf>
    <xf numFmtId="0" fontId="115" fillId="0" borderId="40" xfId="186" applyFont="1" applyBorder="1" applyAlignment="1">
      <alignment horizontal="left" vertical="center" indent="1"/>
    </xf>
    <xf numFmtId="3" fontId="115" fillId="54" borderId="46" xfId="186" applyNumberFormat="1" applyFont="1" applyFill="1" applyBorder="1" applyAlignment="1">
      <alignment horizontal="center"/>
    </xf>
    <xf numFmtId="0" fontId="125" fillId="0" borderId="42" xfId="186" applyFont="1" applyBorder="1"/>
    <xf numFmtId="194" fontId="125" fillId="34" borderId="43" xfId="353" applyNumberFormat="1" applyFont="1" applyFill="1" applyBorder="1" applyAlignment="1">
      <alignment horizontal="center"/>
    </xf>
    <xf numFmtId="194" fontId="125" fillId="0" borderId="43" xfId="353" applyNumberFormat="1" applyFont="1" applyFill="1" applyBorder="1" applyAlignment="1">
      <alignment horizontal="center"/>
    </xf>
    <xf numFmtId="194" fontId="125" fillId="48" borderId="50" xfId="353" applyNumberFormat="1" applyFont="1" applyFill="1" applyBorder="1" applyAlignment="1">
      <alignment horizontal="center"/>
    </xf>
    <xf numFmtId="0" fontId="156" fillId="0" borderId="0" xfId="186" applyFont="1"/>
    <xf numFmtId="0" fontId="157" fillId="0" borderId="0" xfId="39" applyFont="1" applyBorder="1" applyAlignment="1" applyProtection="1">
      <alignment horizontal="right"/>
    </xf>
    <xf numFmtId="0" fontId="158" fillId="0" borderId="0" xfId="184" applyFont="1" applyAlignment="1">
      <alignment horizontal="center" vertical="center"/>
    </xf>
    <xf numFmtId="0" fontId="155" fillId="0" borderId="0" xfId="186" applyFont="1"/>
    <xf numFmtId="0" fontId="155" fillId="0" borderId="0" xfId="186" applyFont="1" applyAlignment="1">
      <alignment horizontal="center" vertical="center" wrapText="1"/>
    </xf>
    <xf numFmtId="0" fontId="114" fillId="34" borderId="0" xfId="0" applyFont="1" applyFill="1"/>
    <xf numFmtId="179" fontId="155" fillId="34" borderId="0" xfId="186" applyNumberFormat="1" applyFont="1" applyFill="1" applyAlignment="1">
      <alignment horizontal="left" vertical="center" wrapText="1"/>
    </xf>
    <xf numFmtId="3" fontId="155" fillId="34" borderId="0" xfId="186" applyNumberFormat="1" applyFont="1" applyFill="1" applyAlignment="1">
      <alignment horizontal="center"/>
    </xf>
    <xf numFmtId="179" fontId="159" fillId="34" borderId="0" xfId="186" applyNumberFormat="1" applyFont="1" applyFill="1" applyAlignment="1">
      <alignment horizontal="left" vertical="center" wrapText="1"/>
    </xf>
    <xf numFmtId="169" fontId="159" fillId="34" borderId="0" xfId="132" applyNumberFormat="1" applyFont="1" applyFill="1" applyBorder="1" applyAlignment="1">
      <alignment horizontal="center"/>
    </xf>
    <xf numFmtId="169" fontId="114" fillId="34" borderId="0" xfId="0" applyNumberFormat="1" applyFont="1" applyFill="1"/>
    <xf numFmtId="173" fontId="159" fillId="48" borderId="0" xfId="186" applyNumberFormat="1" applyFont="1" applyFill="1" applyAlignment="1">
      <alignment horizontal="center" vertical="center" wrapText="1"/>
    </xf>
    <xf numFmtId="0" fontId="114" fillId="34" borderId="49" xfId="0" applyFont="1" applyFill="1" applyBorder="1"/>
    <xf numFmtId="173" fontId="159" fillId="48" borderId="49" xfId="186" applyNumberFormat="1" applyFont="1" applyFill="1" applyBorder="1" applyAlignment="1">
      <alignment horizontal="center" vertical="center" wrapText="1"/>
    </xf>
    <xf numFmtId="3" fontId="155" fillId="34" borderId="49" xfId="186" applyNumberFormat="1" applyFont="1" applyFill="1" applyBorder="1" applyAlignment="1">
      <alignment horizontal="center"/>
    </xf>
    <xf numFmtId="169" fontId="159" fillId="34" borderId="49" xfId="132" applyNumberFormat="1" applyFont="1" applyFill="1" applyBorder="1" applyAlignment="1">
      <alignment horizontal="center"/>
    </xf>
    <xf numFmtId="169" fontId="114" fillId="34" borderId="49" xfId="0" applyNumberFormat="1" applyFont="1" applyFill="1" applyBorder="1"/>
    <xf numFmtId="0" fontId="114" fillId="34" borderId="0" xfId="0" applyFont="1" applyFill="1" applyAlignment="1">
      <alignment horizontal="center"/>
    </xf>
    <xf numFmtId="0" fontId="114" fillId="34" borderId="49" xfId="0" applyFont="1" applyFill="1" applyBorder="1" applyAlignment="1">
      <alignment horizontal="center"/>
    </xf>
    <xf numFmtId="179" fontId="155" fillId="34" borderId="39" xfId="186" applyNumberFormat="1" applyFont="1" applyFill="1" applyBorder="1" applyAlignment="1">
      <alignment horizontal="left" vertical="center" wrapText="1"/>
    </xf>
    <xf numFmtId="3" fontId="155" fillId="34" borderId="39" xfId="186" applyNumberFormat="1" applyFont="1" applyFill="1" applyBorder="1" applyAlignment="1">
      <alignment horizontal="center"/>
    </xf>
    <xf numFmtId="3" fontId="155" fillId="34" borderId="48" xfId="186" applyNumberFormat="1" applyFont="1" applyFill="1" applyBorder="1" applyAlignment="1">
      <alignment horizontal="center"/>
    </xf>
    <xf numFmtId="173" fontId="159" fillId="48" borderId="0" xfId="186" applyNumberFormat="1" applyFont="1" applyFill="1" applyAlignment="1">
      <alignment horizontal="left" vertical="center" wrapText="1"/>
    </xf>
    <xf numFmtId="179" fontId="159" fillId="34" borderId="43" xfId="186" applyNumberFormat="1" applyFont="1" applyFill="1" applyBorder="1" applyAlignment="1">
      <alignment horizontal="left" vertical="center" wrapText="1"/>
    </xf>
    <xf numFmtId="0" fontId="114" fillId="34" borderId="43" xfId="0" applyFont="1" applyFill="1" applyBorder="1"/>
    <xf numFmtId="0" fontId="114" fillId="34" borderId="51" xfId="0" applyFont="1" applyFill="1" applyBorder="1"/>
    <xf numFmtId="173" fontId="140" fillId="50" borderId="39" xfId="186" applyNumberFormat="1" applyFont="1" applyFill="1" applyBorder="1" applyAlignment="1">
      <alignment horizontal="center" vertical="center" wrapText="1"/>
    </xf>
    <xf numFmtId="0" fontId="121" fillId="0" borderId="0" xfId="186" applyFont="1" applyAlignment="1">
      <alignment horizontal="center"/>
    </xf>
    <xf numFmtId="0" fontId="119" fillId="0" borderId="0" xfId="39" applyFont="1" applyBorder="1" applyAlignment="1" applyProtection="1">
      <alignment horizontal="center"/>
    </xf>
    <xf numFmtId="0" fontId="120" fillId="0" borderId="0" xfId="186" applyFont="1" applyAlignment="1">
      <alignment horizontal="center"/>
    </xf>
    <xf numFmtId="0" fontId="159" fillId="50" borderId="38" xfId="186" applyFont="1" applyFill="1" applyBorder="1" applyAlignment="1">
      <alignment horizontal="left" vertical="center"/>
    </xf>
    <xf numFmtId="173" fontId="159" fillId="50" borderId="39" xfId="186" applyNumberFormat="1" applyFont="1" applyFill="1" applyBorder="1" applyAlignment="1">
      <alignment horizontal="center" vertical="center" wrapText="1"/>
    </xf>
    <xf numFmtId="173" fontId="159" fillId="50" borderId="45" xfId="186" applyNumberFormat="1" applyFont="1" applyFill="1" applyBorder="1" applyAlignment="1">
      <alignment horizontal="center" vertical="center" wrapText="1"/>
    </xf>
    <xf numFmtId="0" fontId="115" fillId="0" borderId="0" xfId="186" applyFont="1" applyAlignment="1">
      <alignment horizontal="center"/>
    </xf>
    <xf numFmtId="0" fontId="120" fillId="0" borderId="0" xfId="0" applyFont="1"/>
    <xf numFmtId="0" fontId="114" fillId="0" borderId="0" xfId="0" applyFont="1"/>
    <xf numFmtId="3" fontId="115" fillId="34" borderId="0" xfId="0" applyNumberFormat="1" applyFont="1" applyFill="1" applyAlignment="1">
      <alignment horizontal="center" vertical="center" wrapText="1"/>
    </xf>
    <xf numFmtId="3" fontId="155" fillId="34" borderId="0" xfId="0" applyNumberFormat="1" applyFont="1" applyFill="1" applyAlignment="1">
      <alignment horizontal="center" vertical="center"/>
    </xf>
    <xf numFmtId="0" fontId="133" fillId="0" borderId="0" xfId="0" applyFont="1" applyAlignment="1">
      <alignment vertical="center" wrapText="1"/>
    </xf>
    <xf numFmtId="3" fontId="114" fillId="34" borderId="0" xfId="0" applyNumberFormat="1" applyFont="1" applyFill="1" applyAlignment="1">
      <alignment vertical="center"/>
    </xf>
    <xf numFmtId="0" fontId="115" fillId="0" borderId="0" xfId="0" applyFont="1"/>
    <xf numFmtId="3" fontId="115" fillId="0" borderId="0" xfId="0" applyNumberFormat="1" applyFont="1"/>
    <xf numFmtId="4" fontId="115" fillId="34" borderId="0" xfId="0" applyNumberFormat="1" applyFont="1" applyFill="1" applyAlignment="1">
      <alignment horizontal="center" vertical="center"/>
    </xf>
    <xf numFmtId="0" fontId="115" fillId="34" borderId="0" xfId="0" applyFont="1" applyFill="1" applyAlignment="1">
      <alignment horizontal="center" vertical="center" wrapText="1"/>
    </xf>
    <xf numFmtId="0" fontId="132" fillId="50" borderId="38" xfId="0" applyFont="1" applyFill="1" applyBorder="1" applyAlignment="1">
      <alignment vertical="center" wrapText="1"/>
    </xf>
    <xf numFmtId="0" fontId="115" fillId="0" borderId="0" xfId="0" applyFont="1" applyAlignment="1">
      <alignment horizontal="center" vertical="center" wrapText="1"/>
    </xf>
    <xf numFmtId="0" fontId="115" fillId="48" borderId="46" xfId="0" applyFont="1" applyFill="1" applyBorder="1" applyAlignment="1">
      <alignment horizontal="center" vertical="center" wrapText="1"/>
    </xf>
    <xf numFmtId="0" fontId="115" fillId="0" borderId="42" xfId="0" applyFont="1" applyBorder="1" applyAlignment="1">
      <alignment horizontal="left" vertical="center"/>
    </xf>
    <xf numFmtId="0" fontId="115" fillId="34" borderId="43" xfId="0" applyFont="1" applyFill="1" applyBorder="1" applyAlignment="1">
      <alignment horizontal="center" vertical="center" wrapText="1"/>
    </xf>
    <xf numFmtId="0" fontId="115" fillId="0" borderId="43" xfId="0" applyFont="1" applyBorder="1" applyAlignment="1">
      <alignment horizontal="center" vertical="center" wrapText="1"/>
    </xf>
    <xf numFmtId="4" fontId="115" fillId="0" borderId="0" xfId="0" applyNumberFormat="1" applyFont="1" applyAlignment="1">
      <alignment horizontal="center" vertical="center"/>
    </xf>
    <xf numFmtId="4" fontId="115" fillId="48" borderId="46" xfId="0" applyNumberFormat="1" applyFont="1" applyFill="1" applyBorder="1" applyAlignment="1">
      <alignment horizontal="center" vertical="center"/>
    </xf>
    <xf numFmtId="0" fontId="115" fillId="34" borderId="42" xfId="0" applyFont="1" applyFill="1" applyBorder="1" applyAlignment="1">
      <alignment horizontal="left" vertical="center" wrapText="1"/>
    </xf>
    <xf numFmtId="199" fontId="115" fillId="34" borderId="43" xfId="0" applyNumberFormat="1" applyFont="1" applyFill="1" applyBorder="1" applyAlignment="1">
      <alignment horizontal="center" vertical="center"/>
    </xf>
    <xf numFmtId="199" fontId="115" fillId="0" borderId="43" xfId="0" applyNumberFormat="1" applyFont="1" applyBorder="1" applyAlignment="1">
      <alignment horizontal="center" vertical="center"/>
    </xf>
    <xf numFmtId="199" fontId="115" fillId="48" borderId="50" xfId="0" applyNumberFormat="1" applyFont="1" applyFill="1" applyBorder="1" applyAlignment="1">
      <alignment horizontal="center" vertical="center"/>
    </xf>
    <xf numFmtId="0" fontId="115" fillId="0" borderId="40" xfId="0" applyFont="1" applyBorder="1" applyAlignment="1">
      <alignment vertical="center" wrapText="1"/>
    </xf>
    <xf numFmtId="0" fontId="115" fillId="0" borderId="42" xfId="0" applyFont="1" applyBorder="1" applyAlignment="1">
      <alignment vertical="center" wrapText="1"/>
    </xf>
    <xf numFmtId="3" fontId="115" fillId="34" borderId="43" xfId="0" applyNumberFormat="1" applyFont="1" applyFill="1" applyBorder="1" applyAlignment="1">
      <alignment horizontal="center" vertical="center"/>
    </xf>
    <xf numFmtId="3" fontId="115" fillId="0" borderId="43" xfId="0" applyNumberFormat="1" applyFont="1" applyBorder="1" applyAlignment="1">
      <alignment horizontal="center" vertical="center"/>
    </xf>
    <xf numFmtId="3" fontId="115" fillId="48" borderId="50" xfId="0" applyNumberFormat="1" applyFont="1" applyFill="1" applyBorder="1" applyAlignment="1">
      <alignment horizontal="center" vertical="center"/>
    </xf>
    <xf numFmtId="0" fontId="125" fillId="0" borderId="40" xfId="0" applyFont="1" applyBorder="1" applyAlignment="1">
      <alignment horizontal="left" vertical="center" indent="2"/>
    </xf>
    <xf numFmtId="3" fontId="115" fillId="0" borderId="0" xfId="0" applyNumberFormat="1" applyFont="1" applyAlignment="1">
      <alignment horizontal="center" vertical="center" wrapText="1"/>
    </xf>
    <xf numFmtId="3" fontId="115" fillId="48" borderId="46" xfId="0" applyNumberFormat="1" applyFont="1" applyFill="1" applyBorder="1" applyAlignment="1">
      <alignment horizontal="center" vertical="center" wrapText="1"/>
    </xf>
    <xf numFmtId="3" fontId="115" fillId="34" borderId="43" xfId="0" applyNumberFormat="1" applyFont="1" applyFill="1" applyBorder="1" applyAlignment="1">
      <alignment horizontal="center" vertical="center" wrapText="1"/>
    </xf>
    <xf numFmtId="3" fontId="115" fillId="0" borderId="43" xfId="0" applyNumberFormat="1" applyFont="1" applyBorder="1" applyAlignment="1">
      <alignment horizontal="center" vertical="center" wrapText="1"/>
    </xf>
    <xf numFmtId="3" fontId="115" fillId="48" borderId="50" xfId="0" applyNumberFormat="1" applyFont="1" applyFill="1" applyBorder="1" applyAlignment="1">
      <alignment horizontal="center" vertical="center" wrapText="1"/>
    </xf>
    <xf numFmtId="0" fontId="125" fillId="0" borderId="100" xfId="0" applyFont="1" applyBorder="1" applyAlignment="1">
      <alignment horizontal="left" vertical="center"/>
    </xf>
    <xf numFmtId="3" fontId="125" fillId="34" borderId="101" xfId="0" applyNumberFormat="1" applyFont="1" applyFill="1" applyBorder="1" applyAlignment="1">
      <alignment horizontal="center" vertical="center"/>
    </xf>
    <xf numFmtId="3" fontId="125" fillId="0" borderId="101" xfId="0" applyNumberFormat="1" applyFont="1" applyBorder="1" applyAlignment="1">
      <alignment horizontal="center" vertical="center"/>
    </xf>
    <xf numFmtId="0" fontId="115" fillId="0" borderId="104" xfId="0" applyFont="1" applyBorder="1" applyAlignment="1">
      <alignment horizontal="left" vertical="center" indent="4"/>
    </xf>
    <xf numFmtId="3" fontId="115" fillId="34" borderId="105" xfId="0" applyNumberFormat="1" applyFont="1" applyFill="1" applyBorder="1" applyAlignment="1">
      <alignment horizontal="center" vertical="center"/>
    </xf>
    <xf numFmtId="3" fontId="115" fillId="0" borderId="105" xfId="0" applyNumberFormat="1" applyFont="1" applyBorder="1" applyAlignment="1">
      <alignment horizontal="center" vertical="center"/>
    </xf>
    <xf numFmtId="3" fontId="115" fillId="48" borderId="107" xfId="0" applyNumberFormat="1" applyFont="1" applyFill="1" applyBorder="1" applyAlignment="1">
      <alignment horizontal="center" vertical="center"/>
    </xf>
    <xf numFmtId="0" fontId="155" fillId="0" borderId="42" xfId="0" applyFont="1" applyBorder="1" applyAlignment="1">
      <alignment horizontal="left" vertical="center" indent="2"/>
    </xf>
    <xf numFmtId="0" fontId="155" fillId="0" borderId="40" xfId="0" applyFont="1" applyBorder="1" applyAlignment="1">
      <alignment horizontal="left" vertical="center" indent="2"/>
    </xf>
    <xf numFmtId="0" fontId="125" fillId="0" borderId="42" xfId="0" applyFont="1" applyBorder="1" applyAlignment="1">
      <alignment horizontal="left" vertical="center" indent="2"/>
    </xf>
    <xf numFmtId="0" fontId="125" fillId="0" borderId="96" xfId="0" applyFont="1" applyBorder="1" applyAlignment="1">
      <alignment horizontal="left" vertical="center" indent="2"/>
    </xf>
    <xf numFmtId="3" fontId="125" fillId="34" borderId="97" xfId="0" applyNumberFormat="1" applyFont="1" applyFill="1" applyBorder="1" applyAlignment="1">
      <alignment horizontal="center" vertical="center"/>
    </xf>
    <xf numFmtId="3" fontId="115" fillId="51" borderId="14" xfId="0" applyNumberFormat="1" applyFont="1" applyFill="1" applyBorder="1" applyAlignment="1">
      <alignment horizontal="center" vertical="center"/>
    </xf>
    <xf numFmtId="3" fontId="125" fillId="51" borderId="29" xfId="0" applyNumberFormat="1" applyFont="1" applyFill="1" applyBorder="1" applyAlignment="1">
      <alignment horizontal="center" vertical="center"/>
    </xf>
    <xf numFmtId="1" fontId="115" fillId="51" borderId="14" xfId="0" applyNumberFormat="1" applyFont="1" applyFill="1" applyBorder="1" applyAlignment="1">
      <alignment horizontal="center" vertical="center"/>
    </xf>
    <xf numFmtId="1" fontId="115" fillId="51" borderId="29" xfId="0" applyNumberFormat="1" applyFont="1" applyFill="1" applyBorder="1" applyAlignment="1">
      <alignment horizontal="center" vertical="center"/>
    </xf>
    <xf numFmtId="169" fontId="125" fillId="51" borderId="14" xfId="132" applyNumberFormat="1" applyFont="1" applyFill="1" applyBorder="1" applyAlignment="1">
      <alignment horizontal="center" vertical="center"/>
    </xf>
    <xf numFmtId="9" fontId="125" fillId="51" borderId="14" xfId="132" applyFont="1" applyFill="1" applyBorder="1" applyAlignment="1">
      <alignment horizontal="center" vertical="center"/>
    </xf>
    <xf numFmtId="169" fontId="125" fillId="51" borderId="15" xfId="132" applyNumberFormat="1" applyFont="1" applyFill="1" applyBorder="1" applyAlignment="1">
      <alignment horizontal="center" vertical="center"/>
    </xf>
    <xf numFmtId="3" fontId="125" fillId="48" borderId="103" xfId="0" applyNumberFormat="1" applyFont="1" applyFill="1" applyBorder="1" applyAlignment="1">
      <alignment horizontal="center" vertical="center"/>
    </xf>
    <xf numFmtId="3" fontId="50" fillId="0" borderId="0" xfId="0" applyNumberFormat="1" applyFont="1" applyAlignment="1">
      <alignment vertical="center"/>
    </xf>
    <xf numFmtId="0" fontId="125" fillId="0" borderId="0" xfId="0" applyFont="1" applyAlignment="1">
      <alignment horizontal="left" vertical="center" wrapText="1"/>
    </xf>
    <xf numFmtId="0" fontId="125" fillId="0" borderId="110" xfId="0" applyFont="1" applyBorder="1" applyAlignment="1">
      <alignment horizontal="left" vertical="center" wrapText="1"/>
    </xf>
    <xf numFmtId="3" fontId="125" fillId="34" borderId="111" xfId="0" applyNumberFormat="1" applyFont="1" applyFill="1" applyBorder="1" applyAlignment="1">
      <alignment horizontal="center" vertical="center"/>
    </xf>
    <xf numFmtId="3" fontId="125" fillId="48" borderId="112" xfId="0" applyNumberFormat="1" applyFont="1" applyFill="1" applyBorder="1" applyAlignment="1">
      <alignment horizontal="center" vertical="center"/>
    </xf>
    <xf numFmtId="0" fontId="162" fillId="50" borderId="96" xfId="0" applyFont="1" applyFill="1" applyBorder="1" applyAlignment="1">
      <alignment horizontal="left" vertical="center" wrapText="1"/>
    </xf>
    <xf numFmtId="0" fontId="140" fillId="50" borderId="100" xfId="0" applyFont="1" applyFill="1" applyBorder="1" applyAlignment="1">
      <alignment horizontal="left" vertical="center" wrapText="1"/>
    </xf>
    <xf numFmtId="10" fontId="125" fillId="50" borderId="101" xfId="132" applyNumberFormat="1" applyFont="1" applyFill="1" applyBorder="1" applyAlignment="1">
      <alignment horizontal="center" vertical="center" wrapText="1"/>
    </xf>
    <xf numFmtId="10" fontId="125" fillId="50" borderId="102" xfId="132" applyNumberFormat="1" applyFont="1" applyFill="1" applyBorder="1" applyAlignment="1">
      <alignment horizontal="center" vertical="center" wrapText="1"/>
    </xf>
    <xf numFmtId="10" fontId="125" fillId="50" borderId="103" xfId="132" applyNumberFormat="1" applyFont="1" applyFill="1" applyBorder="1" applyAlignment="1">
      <alignment horizontal="center" vertical="center" wrapText="1"/>
    </xf>
    <xf numFmtId="10" fontId="125" fillId="50" borderId="105" xfId="132" applyNumberFormat="1" applyFont="1" applyFill="1" applyBorder="1" applyAlignment="1">
      <alignment horizontal="center" vertical="center" wrapText="1"/>
    </xf>
    <xf numFmtId="0" fontId="140" fillId="50" borderId="113" xfId="0" applyFont="1" applyFill="1" applyBorder="1" applyAlignment="1">
      <alignment horizontal="left" vertical="center" wrapText="1"/>
    </xf>
    <xf numFmtId="10" fontId="125" fillId="50" borderId="114" xfId="132" applyNumberFormat="1" applyFont="1" applyFill="1" applyBorder="1" applyAlignment="1">
      <alignment horizontal="center" vertical="center" wrapText="1"/>
    </xf>
    <xf numFmtId="10" fontId="125" fillId="50" borderId="115" xfId="132" applyNumberFormat="1" applyFont="1" applyFill="1" applyBorder="1" applyAlignment="1">
      <alignment horizontal="center" vertical="center" wrapText="1"/>
    </xf>
    <xf numFmtId="10" fontId="125" fillId="50" borderId="116" xfId="132" applyNumberFormat="1" applyFont="1" applyFill="1" applyBorder="1" applyAlignment="1">
      <alignment horizontal="center" vertical="center" wrapText="1"/>
    </xf>
    <xf numFmtId="0" fontId="162" fillId="50" borderId="117" xfId="0" applyFont="1" applyFill="1" applyBorder="1" applyAlignment="1">
      <alignment horizontal="left" vertical="center" wrapText="1"/>
    </xf>
    <xf numFmtId="0" fontId="140" fillId="50" borderId="40" xfId="0" applyFont="1" applyFill="1" applyBorder="1" applyAlignment="1">
      <alignment horizontal="left" vertical="center" wrapText="1"/>
    </xf>
    <xf numFmtId="10" fontId="125" fillId="50" borderId="0" xfId="132" applyNumberFormat="1" applyFont="1" applyFill="1" applyBorder="1" applyAlignment="1">
      <alignment horizontal="center" vertical="center" wrapText="1"/>
    </xf>
    <xf numFmtId="10" fontId="125" fillId="50" borderId="49" xfId="132" applyNumberFormat="1" applyFont="1" applyFill="1" applyBorder="1" applyAlignment="1">
      <alignment horizontal="center" vertical="center" wrapText="1"/>
    </xf>
    <xf numFmtId="10" fontId="125" fillId="50" borderId="46" xfId="132" applyNumberFormat="1" applyFont="1" applyFill="1" applyBorder="1" applyAlignment="1">
      <alignment horizontal="center" vertical="center" wrapText="1"/>
    </xf>
    <xf numFmtId="10" fontId="115" fillId="50" borderId="97" xfId="132" applyNumberFormat="1" applyFont="1" applyFill="1" applyBorder="1" applyAlignment="1">
      <alignment horizontal="center" vertical="center" wrapText="1"/>
    </xf>
    <xf numFmtId="10" fontId="115" fillId="50" borderId="98" xfId="132" applyNumberFormat="1" applyFont="1" applyFill="1" applyBorder="1" applyAlignment="1">
      <alignment horizontal="center" vertical="center" wrapText="1"/>
    </xf>
    <xf numFmtId="10" fontId="115" fillId="50" borderId="99" xfId="132" applyNumberFormat="1" applyFont="1" applyFill="1" applyBorder="1" applyAlignment="1">
      <alignment horizontal="center" vertical="center" wrapText="1"/>
    </xf>
    <xf numFmtId="10" fontId="115" fillId="50" borderId="118" xfId="132" applyNumberFormat="1" applyFont="1" applyFill="1" applyBorder="1" applyAlignment="1">
      <alignment horizontal="center" vertical="center" wrapText="1"/>
    </xf>
    <xf numFmtId="10" fontId="115" fillId="50" borderId="119" xfId="132" applyNumberFormat="1" applyFont="1" applyFill="1" applyBorder="1" applyAlignment="1">
      <alignment horizontal="center" vertical="center" wrapText="1"/>
    </xf>
    <xf numFmtId="10" fontId="115" fillId="50" borderId="120" xfId="132" applyNumberFormat="1" applyFont="1" applyFill="1" applyBorder="1" applyAlignment="1">
      <alignment horizontal="center" vertical="center" wrapText="1"/>
    </xf>
    <xf numFmtId="9" fontId="46" fillId="0" borderId="0" xfId="132" applyFont="1"/>
    <xf numFmtId="3" fontId="125" fillId="48" borderId="0" xfId="186" applyNumberFormat="1" applyFont="1" applyFill="1" applyAlignment="1">
      <alignment horizontal="center"/>
    </xf>
    <xf numFmtId="0" fontId="115" fillId="0" borderId="0" xfId="0" applyFont="1" applyAlignment="1">
      <alignment horizontal="left" wrapText="1"/>
    </xf>
    <xf numFmtId="3" fontId="64" fillId="0" borderId="0" xfId="186" applyNumberFormat="1" applyFont="1"/>
    <xf numFmtId="9" fontId="114" fillId="34" borderId="0" xfId="132" applyFont="1" applyFill="1" applyAlignment="1">
      <alignment horizontal="left" vertical="center"/>
    </xf>
    <xf numFmtId="0" fontId="114" fillId="0" borderId="0" xfId="186" applyFont="1"/>
    <xf numFmtId="169" fontId="125" fillId="0" borderId="49" xfId="132" applyNumberFormat="1" applyFont="1" applyFill="1" applyBorder="1" applyAlignment="1">
      <alignment horizontal="center" vertical="center"/>
    </xf>
    <xf numFmtId="10" fontId="125" fillId="0" borderId="49" xfId="187" applyNumberFormat="1" applyFont="1" applyFill="1" applyBorder="1" applyAlignment="1">
      <alignment horizontal="center" vertical="center"/>
    </xf>
    <xf numFmtId="9" fontId="125" fillId="0" borderId="49" xfId="187" applyNumberFormat="1" applyFont="1" applyFill="1" applyBorder="1" applyAlignment="1">
      <alignment horizontal="center" vertical="center"/>
    </xf>
    <xf numFmtId="169" fontId="125" fillId="0" borderId="49" xfId="187" applyNumberFormat="1" applyFont="1" applyFill="1" applyBorder="1" applyAlignment="1">
      <alignment horizontal="center" vertical="center"/>
    </xf>
    <xf numFmtId="9" fontId="125" fillId="0" borderId="49" xfId="132" applyFont="1" applyFill="1" applyBorder="1" applyAlignment="1">
      <alignment horizontal="center" vertical="center"/>
    </xf>
    <xf numFmtId="10" fontId="125" fillId="0" borderId="58" xfId="132" applyNumberFormat="1" applyFont="1" applyFill="1" applyBorder="1" applyAlignment="1">
      <alignment horizontal="center" vertical="center"/>
    </xf>
    <xf numFmtId="10" fontId="125" fillId="0" borderId="49" xfId="132" applyNumberFormat="1" applyFont="1" applyFill="1" applyBorder="1" applyAlignment="1">
      <alignment horizontal="center" vertical="center"/>
    </xf>
    <xf numFmtId="169" fontId="125" fillId="0" borderId="51" xfId="132" applyNumberFormat="1" applyFont="1" applyFill="1" applyBorder="1" applyAlignment="1">
      <alignment horizontal="center" vertical="center"/>
    </xf>
    <xf numFmtId="3" fontId="115" fillId="0" borderId="31" xfId="67" applyNumberFormat="1" applyFont="1" applyBorder="1" applyAlignment="1">
      <alignment horizontal="center" vertical="center"/>
    </xf>
    <xf numFmtId="169" fontId="125" fillId="0" borderId="51" xfId="132" applyNumberFormat="1" applyFont="1" applyFill="1" applyBorder="1" applyAlignment="1">
      <alignment horizontal="center"/>
    </xf>
    <xf numFmtId="169" fontId="125" fillId="0" borderId="49" xfId="132" applyNumberFormat="1" applyFont="1" applyFill="1" applyBorder="1" applyAlignment="1">
      <alignment horizontal="center"/>
    </xf>
    <xf numFmtId="169" fontId="115" fillId="0" borderId="49" xfId="132" applyNumberFormat="1" applyFont="1" applyFill="1" applyBorder="1" applyAlignment="1">
      <alignment horizontal="center"/>
    </xf>
    <xf numFmtId="194" fontId="125" fillId="0" borderId="51" xfId="353" applyNumberFormat="1" applyFont="1" applyFill="1" applyBorder="1" applyAlignment="1">
      <alignment horizontal="center"/>
    </xf>
    <xf numFmtId="3" fontId="159" fillId="0" borderId="35" xfId="186" applyNumberFormat="1" applyFont="1" applyBorder="1" applyAlignment="1">
      <alignment horizontal="center" vertical="center"/>
    </xf>
    <xf numFmtId="14" fontId="159" fillId="0" borderId="35" xfId="186" applyNumberFormat="1" applyFont="1" applyBorder="1" applyAlignment="1">
      <alignment horizontal="center" vertical="center"/>
    </xf>
    <xf numFmtId="3" fontId="159" fillId="0" borderId="108" xfId="186" applyNumberFormat="1" applyFont="1" applyBorder="1" applyAlignment="1">
      <alignment horizontal="center" vertical="center"/>
    </xf>
    <xf numFmtId="3" fontId="159" fillId="0" borderId="36" xfId="186" applyNumberFormat="1" applyFont="1" applyBorder="1" applyAlignment="1">
      <alignment horizontal="center" vertical="center"/>
    </xf>
    <xf numFmtId="3" fontId="159" fillId="0" borderId="109" xfId="186" applyNumberFormat="1" applyFont="1" applyBorder="1" applyAlignment="1">
      <alignment horizontal="center" vertical="center"/>
    </xf>
    <xf numFmtId="0" fontId="159" fillId="0" borderId="0" xfId="186" applyFont="1" applyAlignment="1">
      <alignment horizontal="center" vertical="center"/>
    </xf>
    <xf numFmtId="3" fontId="159" fillId="0" borderId="0" xfId="186" applyNumberFormat="1" applyFont="1" applyAlignment="1">
      <alignment horizontal="center" vertical="center"/>
    </xf>
    <xf numFmtId="0" fontId="159" fillId="0" borderId="46" xfId="186" applyFont="1" applyBorder="1" applyAlignment="1">
      <alignment horizontal="center" vertical="center"/>
    </xf>
    <xf numFmtId="3" fontId="159" fillId="0" borderId="121" xfId="186" applyNumberFormat="1" applyFont="1" applyBorder="1" applyAlignment="1">
      <alignment horizontal="center" vertical="center"/>
    </xf>
    <xf numFmtId="3" fontId="159" fillId="0" borderId="122" xfId="186" applyNumberFormat="1" applyFont="1" applyBorder="1" applyAlignment="1">
      <alignment horizontal="center" vertical="center"/>
    </xf>
    <xf numFmtId="15" fontId="159" fillId="0" borderId="0" xfId="186" applyNumberFormat="1" applyFont="1" applyAlignment="1">
      <alignment horizontal="center" vertical="center"/>
    </xf>
    <xf numFmtId="3" fontId="159" fillId="0" borderId="93" xfId="186" applyNumberFormat="1" applyFont="1" applyBorder="1" applyAlignment="1">
      <alignment horizontal="center" vertical="center"/>
    </xf>
    <xf numFmtId="0" fontId="159" fillId="0" borderId="93" xfId="186" applyFont="1" applyBorder="1" applyAlignment="1">
      <alignment horizontal="center" vertical="center"/>
    </xf>
    <xf numFmtId="0" fontId="159" fillId="0" borderId="95" xfId="186" applyFont="1" applyBorder="1" applyAlignment="1">
      <alignment horizontal="center" vertical="center"/>
    </xf>
    <xf numFmtId="15" fontId="159" fillId="0" borderId="36" xfId="186" applyNumberFormat="1" applyFont="1" applyBorder="1" applyAlignment="1">
      <alignment horizontal="center" vertical="center"/>
    </xf>
    <xf numFmtId="3" fontId="159" fillId="0" borderId="123" xfId="186" applyNumberFormat="1" applyFont="1" applyBorder="1" applyAlignment="1">
      <alignment horizontal="center" vertical="center"/>
    </xf>
    <xf numFmtId="3" fontId="159" fillId="0" borderId="46" xfId="186" applyNumberFormat="1" applyFont="1" applyBorder="1" applyAlignment="1">
      <alignment horizontal="center" vertical="center"/>
    </xf>
    <xf numFmtId="3" fontId="159" fillId="0" borderId="97" xfId="186" applyNumberFormat="1" applyFont="1" applyBorder="1" applyAlignment="1">
      <alignment horizontal="center"/>
    </xf>
    <xf numFmtId="3" fontId="159" fillId="0" borderId="99" xfId="186" applyNumberFormat="1" applyFont="1" applyBorder="1" applyAlignment="1">
      <alignment horizontal="center"/>
    </xf>
    <xf numFmtId="3" fontId="155" fillId="0" borderId="97" xfId="186" applyNumberFormat="1" applyFont="1" applyBorder="1" applyAlignment="1">
      <alignment horizontal="center"/>
    </xf>
    <xf numFmtId="3" fontId="155" fillId="0" borderId="99" xfId="186" applyNumberFormat="1" applyFont="1" applyBorder="1" applyAlignment="1">
      <alignment horizontal="center"/>
    </xf>
    <xf numFmtId="2" fontId="141" fillId="49" borderId="124" xfId="0" applyNumberFormat="1" applyFont="1" applyFill="1" applyBorder="1" applyAlignment="1">
      <alignment horizontal="center" vertical="center" wrapText="1"/>
    </xf>
    <xf numFmtId="3" fontId="115" fillId="51" borderId="125" xfId="67" applyNumberFormat="1" applyFont="1" applyFill="1" applyBorder="1" applyAlignment="1">
      <alignment horizontal="center" vertical="center"/>
    </xf>
    <xf numFmtId="3" fontId="115" fillId="51" borderId="126" xfId="67" applyNumberFormat="1" applyFont="1" applyFill="1" applyBorder="1" applyAlignment="1">
      <alignment horizontal="center" vertical="center"/>
    </xf>
    <xf numFmtId="3" fontId="133" fillId="51" borderId="125" xfId="67" applyNumberFormat="1" applyFont="1" applyFill="1" applyBorder="1" applyAlignment="1">
      <alignment horizontal="center" vertical="center"/>
    </xf>
    <xf numFmtId="3" fontId="133" fillId="51" borderId="126" xfId="67" applyNumberFormat="1" applyFont="1" applyFill="1" applyBorder="1" applyAlignment="1">
      <alignment horizontal="center" vertical="center"/>
    </xf>
    <xf numFmtId="1" fontId="115" fillId="51" borderId="125" xfId="0" applyNumberFormat="1" applyFont="1" applyFill="1" applyBorder="1" applyAlignment="1">
      <alignment horizontal="center" vertical="center"/>
    </xf>
    <xf numFmtId="0" fontId="115" fillId="48" borderId="50" xfId="0" applyFont="1" applyFill="1" applyBorder="1" applyAlignment="1">
      <alignment horizontal="center" vertical="center" wrapText="1"/>
    </xf>
    <xf numFmtId="169" fontId="120" fillId="0" borderId="0" xfId="0" applyNumberFormat="1" applyFont="1" applyAlignment="1">
      <alignment vertical="center"/>
    </xf>
    <xf numFmtId="1" fontId="45" fillId="0" borderId="0" xfId="0" applyNumberFormat="1" applyFont="1" applyAlignment="1">
      <alignment vertical="center"/>
    </xf>
    <xf numFmtId="37" fontId="46" fillId="0" borderId="0" xfId="187" applyNumberFormat="1" applyFont="1" applyBorder="1" applyAlignment="1">
      <alignment vertical="center"/>
    </xf>
    <xf numFmtId="9" fontId="109" fillId="0" borderId="0" xfId="132" applyFont="1"/>
    <xf numFmtId="169" fontId="109" fillId="0" borderId="0" xfId="132" applyNumberFormat="1" applyFont="1"/>
    <xf numFmtId="0" fontId="125" fillId="56" borderId="97" xfId="0" applyFont="1" applyFill="1" applyBorder="1" applyAlignment="1">
      <alignment horizontal="left" vertical="center" wrapText="1"/>
    </xf>
    <xf numFmtId="0" fontId="125" fillId="56" borderId="99" xfId="0" applyFont="1" applyFill="1" applyBorder="1" applyAlignment="1">
      <alignment horizontal="left" vertical="center" wrapText="1"/>
    </xf>
    <xf numFmtId="0" fontId="132" fillId="56" borderId="96" xfId="0" applyFont="1" applyFill="1" applyBorder="1" applyAlignment="1">
      <alignment horizontal="left" vertical="center" wrapText="1"/>
    </xf>
    <xf numFmtId="0" fontId="132" fillId="56" borderId="97" xfId="0" applyFont="1" applyFill="1" applyBorder="1" applyAlignment="1">
      <alignment horizontal="left" vertical="center" wrapText="1"/>
    </xf>
    <xf numFmtId="0" fontId="132" fillId="56" borderId="99" xfId="0" applyFont="1" applyFill="1" applyBorder="1" applyAlignment="1">
      <alignment horizontal="left" vertical="center" wrapText="1"/>
    </xf>
    <xf numFmtId="0" fontId="159" fillId="51" borderId="127" xfId="186" applyFont="1" applyFill="1" applyBorder="1" applyAlignment="1">
      <alignment horizontal="center" vertical="center" wrapText="1"/>
    </xf>
    <xf numFmtId="0" fontId="159" fillId="51" borderId="128" xfId="186" applyFont="1" applyFill="1" applyBorder="1" applyAlignment="1">
      <alignment horizontal="center" vertical="center" wrapText="1"/>
    </xf>
    <xf numFmtId="0" fontId="159" fillId="51" borderId="40" xfId="186" applyFont="1" applyFill="1" applyBorder="1" applyAlignment="1">
      <alignment horizontal="center" vertical="center" wrapText="1"/>
    </xf>
    <xf numFmtId="0" fontId="159" fillId="51" borderId="129" xfId="186" applyFont="1" applyFill="1" applyBorder="1" applyAlignment="1">
      <alignment horizontal="center" vertical="center" wrapText="1"/>
    </xf>
    <xf numFmtId="0" fontId="159" fillId="51" borderId="96" xfId="186" applyFont="1" applyFill="1" applyBorder="1" applyAlignment="1">
      <alignment horizontal="center" vertical="center" wrapText="1"/>
    </xf>
    <xf numFmtId="3" fontId="159" fillId="55" borderId="92" xfId="186" applyNumberFormat="1" applyFont="1" applyFill="1" applyBorder="1" applyAlignment="1">
      <alignment horizontal="center" vertical="center" wrapText="1"/>
    </xf>
    <xf numFmtId="0" fontId="159" fillId="0" borderId="96" xfId="186" applyFont="1" applyBorder="1" applyAlignment="1">
      <alignment horizontal="left" vertical="center" wrapText="1"/>
    </xf>
    <xf numFmtId="0" fontId="155" fillId="0" borderId="96" xfId="186" applyFont="1" applyBorder="1" applyAlignment="1">
      <alignment horizontal="center" vertical="center" wrapText="1"/>
    </xf>
    <xf numFmtId="3" fontId="162" fillId="47" borderId="0" xfId="67" applyNumberFormat="1" applyFont="1" applyFill="1" applyAlignment="1">
      <alignment horizontal="center" vertical="center"/>
    </xf>
    <xf numFmtId="3" fontId="133" fillId="0" borderId="31" xfId="67" applyNumberFormat="1" applyFont="1" applyBorder="1" applyAlignment="1">
      <alignment horizontal="center" vertical="center"/>
    </xf>
    <xf numFmtId="1" fontId="115" fillId="0" borderId="30" xfId="0" applyNumberFormat="1" applyFont="1" applyBorder="1" applyAlignment="1">
      <alignment horizontal="center" vertical="center"/>
    </xf>
    <xf numFmtId="0" fontId="115" fillId="0" borderId="30" xfId="0" applyFont="1" applyBorder="1" applyAlignment="1">
      <alignment horizontal="center" vertical="center"/>
    </xf>
    <xf numFmtId="3" fontId="115" fillId="0" borderId="31" xfId="0" applyNumberFormat="1" applyFont="1" applyBorder="1" applyAlignment="1">
      <alignment horizontal="center" vertical="center"/>
    </xf>
    <xf numFmtId="3" fontId="125" fillId="48" borderId="30" xfId="67" applyNumberFormat="1" applyFont="1" applyFill="1" applyBorder="1" applyAlignment="1">
      <alignment horizontal="center" vertical="center"/>
    </xf>
    <xf numFmtId="202" fontId="115" fillId="49" borderId="46" xfId="0" applyNumberFormat="1" applyFont="1" applyFill="1" applyBorder="1" applyAlignment="1">
      <alignment horizontal="center" vertical="center" wrapText="1"/>
    </xf>
    <xf numFmtId="3" fontId="125" fillId="48" borderId="130" xfId="67" applyNumberFormat="1" applyFont="1" applyFill="1" applyBorder="1" applyAlignment="1">
      <alignment horizontal="center" vertical="center"/>
    </xf>
    <xf numFmtId="0" fontId="125" fillId="48" borderId="64" xfId="0" applyFont="1" applyFill="1" applyBorder="1" applyAlignment="1">
      <alignment horizontal="left" vertical="center" wrapText="1"/>
    </xf>
    <xf numFmtId="0" fontId="146" fillId="52" borderId="104" xfId="0" applyFont="1" applyFill="1" applyBorder="1" applyAlignment="1">
      <alignment horizontal="left" vertical="center" wrapText="1" indent="1"/>
    </xf>
    <xf numFmtId="1" fontId="146" fillId="52" borderId="105" xfId="0" applyNumberFormat="1" applyFont="1" applyFill="1" applyBorder="1" applyAlignment="1">
      <alignment horizontal="center" vertical="center" wrapText="1"/>
    </xf>
    <xf numFmtId="1" fontId="146" fillId="52" borderId="106" xfId="0" applyNumberFormat="1" applyFont="1" applyFill="1" applyBorder="1" applyAlignment="1">
      <alignment horizontal="center" vertical="center" wrapText="1"/>
    </xf>
    <xf numFmtId="1" fontId="146" fillId="52" borderId="107" xfId="0" applyNumberFormat="1" applyFont="1" applyFill="1" applyBorder="1" applyAlignment="1">
      <alignment horizontal="center" vertical="center" wrapText="1"/>
    </xf>
    <xf numFmtId="3" fontId="125" fillId="48" borderId="63" xfId="67" applyNumberFormat="1" applyFont="1" applyFill="1" applyBorder="1" applyAlignment="1">
      <alignment horizontal="center" vertical="center"/>
    </xf>
    <xf numFmtId="169" fontId="125" fillId="48" borderId="46" xfId="187" applyNumberFormat="1" applyFont="1" applyFill="1" applyBorder="1" applyAlignment="1">
      <alignment horizontal="center" vertical="center"/>
    </xf>
    <xf numFmtId="9" fontId="109" fillId="0" borderId="0" xfId="132" applyFont="1" applyBorder="1"/>
    <xf numFmtId="2" fontId="109" fillId="0" borderId="0" xfId="132" applyNumberFormat="1" applyFont="1"/>
    <xf numFmtId="194" fontId="109" fillId="0" borderId="0" xfId="187" applyNumberFormat="1" applyFont="1"/>
    <xf numFmtId="43" fontId="50" fillId="0" borderId="0" xfId="187" applyFont="1" applyAlignment="1">
      <alignment vertical="center"/>
    </xf>
    <xf numFmtId="43" fontId="46" fillId="0" borderId="0" xfId="187" applyFont="1" applyBorder="1" applyAlignment="1">
      <alignment vertical="center"/>
    </xf>
    <xf numFmtId="169" fontId="110" fillId="0" borderId="0" xfId="132" applyNumberFormat="1" applyFont="1" applyProtection="1"/>
    <xf numFmtId="0" fontId="125" fillId="51" borderId="127" xfId="186" applyFont="1" applyFill="1" applyBorder="1" applyAlignment="1">
      <alignment horizontal="center" vertical="center" wrapText="1"/>
    </xf>
    <xf numFmtId="203" fontId="125" fillId="0" borderId="35" xfId="186" applyNumberFormat="1" applyFont="1" applyBorder="1" applyAlignment="1">
      <alignment horizontal="center" vertical="center"/>
    </xf>
    <xf numFmtId="3" fontId="125" fillId="0" borderId="35" xfId="186" applyNumberFormat="1" applyFont="1" applyBorder="1" applyAlignment="1">
      <alignment horizontal="center" vertical="center"/>
    </xf>
    <xf numFmtId="3" fontId="125" fillId="0" borderId="108" xfId="186" applyNumberFormat="1" applyFont="1" applyBorder="1" applyAlignment="1">
      <alignment horizontal="center" vertical="center"/>
    </xf>
    <xf numFmtId="3" fontId="125" fillId="0" borderId="36" xfId="186" applyNumberFormat="1" applyFont="1" applyBorder="1" applyAlignment="1">
      <alignment horizontal="center" vertical="center"/>
    </xf>
    <xf numFmtId="3" fontId="125" fillId="0" borderId="109" xfId="186" applyNumberFormat="1" applyFont="1" applyBorder="1" applyAlignment="1">
      <alignment horizontal="center" vertical="center"/>
    </xf>
    <xf numFmtId="0" fontId="155" fillId="50" borderId="38" xfId="186" applyFont="1" applyFill="1" applyBorder="1" applyAlignment="1">
      <alignment horizontal="left"/>
    </xf>
    <xf numFmtId="3" fontId="125" fillId="0" borderId="46" xfId="186" applyNumberFormat="1" applyFont="1" applyBorder="1" applyAlignment="1">
      <alignment horizontal="center" vertical="center"/>
    </xf>
    <xf numFmtId="204" fontId="125" fillId="0" borderId="35" xfId="186" applyNumberFormat="1" applyFont="1" applyBorder="1" applyAlignment="1">
      <alignment horizontal="center" vertical="center"/>
    </xf>
    <xf numFmtId="9" fontId="125" fillId="48" borderId="46" xfId="0" applyNumberFormat="1" applyFont="1" applyFill="1" applyBorder="1" applyAlignment="1">
      <alignment horizontal="center" vertical="center"/>
    </xf>
    <xf numFmtId="169" fontId="125" fillId="48" borderId="0" xfId="132" applyNumberFormat="1" applyFont="1" applyFill="1" applyBorder="1" applyAlignment="1">
      <alignment horizontal="center" vertical="center"/>
    </xf>
    <xf numFmtId="9" fontId="126" fillId="0" borderId="0" xfId="132" applyFont="1" applyAlignment="1">
      <alignment vertical="center"/>
    </xf>
    <xf numFmtId="3" fontId="125" fillId="48" borderId="31" xfId="67" applyNumberFormat="1" applyFont="1" applyFill="1" applyBorder="1" applyAlignment="1">
      <alignment horizontal="center" vertical="center"/>
    </xf>
    <xf numFmtId="3" fontId="115" fillId="48" borderId="0" xfId="67" applyNumberFormat="1" applyFont="1" applyFill="1" applyAlignment="1">
      <alignment horizontal="center" vertical="center"/>
    </xf>
    <xf numFmtId="3" fontId="125" fillId="48" borderId="0" xfId="67" applyNumberFormat="1" applyFont="1" applyFill="1" applyAlignment="1">
      <alignment horizontal="center" vertical="center"/>
    </xf>
    <xf numFmtId="0" fontId="125" fillId="47" borderId="133" xfId="0" applyFont="1" applyFill="1" applyBorder="1" applyAlignment="1">
      <alignment horizontal="center" vertical="center" wrapText="1"/>
    </xf>
    <xf numFmtId="3" fontId="115" fillId="48" borderId="134" xfId="67" applyNumberFormat="1" applyFont="1" applyFill="1" applyBorder="1" applyAlignment="1">
      <alignment horizontal="center" vertical="center"/>
    </xf>
    <xf numFmtId="3" fontId="125" fillId="48" borderId="132" xfId="67" applyNumberFormat="1" applyFont="1" applyFill="1" applyBorder="1" applyAlignment="1">
      <alignment horizontal="center" vertical="center"/>
    </xf>
    <xf numFmtId="3" fontId="125" fillId="48" borderId="134" xfId="67" applyNumberFormat="1" applyFont="1" applyFill="1" applyBorder="1" applyAlignment="1">
      <alignment horizontal="center" vertical="center"/>
    </xf>
    <xf numFmtId="3" fontId="115" fillId="48" borderId="133" xfId="67" applyNumberFormat="1" applyFont="1" applyFill="1" applyBorder="1" applyAlignment="1">
      <alignment horizontal="center" vertical="center"/>
    </xf>
    <xf numFmtId="3" fontId="125" fillId="48" borderId="133" xfId="67" applyNumberFormat="1" applyFont="1" applyFill="1" applyBorder="1" applyAlignment="1">
      <alignment horizontal="center" vertical="center"/>
    </xf>
    <xf numFmtId="3" fontId="125" fillId="48" borderId="136" xfId="0" applyNumberFormat="1" applyFont="1" applyFill="1" applyBorder="1" applyAlignment="1">
      <alignment horizontal="center" vertical="center"/>
    </xf>
    <xf numFmtId="3" fontId="115" fillId="48" borderId="136" xfId="0" applyNumberFormat="1" applyFont="1" applyFill="1" applyBorder="1" applyAlignment="1">
      <alignment horizontal="center" vertical="center"/>
    </xf>
    <xf numFmtId="3" fontId="125" fillId="48" borderId="135" xfId="0" applyNumberFormat="1" applyFont="1" applyFill="1" applyBorder="1" applyAlignment="1">
      <alignment horizontal="center" vertical="center"/>
    </xf>
    <xf numFmtId="3" fontId="115" fillId="0" borderId="134" xfId="67" applyNumberFormat="1" applyFont="1" applyBorder="1" applyAlignment="1">
      <alignment horizontal="center" vertical="center"/>
    </xf>
    <xf numFmtId="3" fontId="125" fillId="0" borderId="132" xfId="67" applyNumberFormat="1" applyFont="1" applyBorder="1" applyAlignment="1">
      <alignment horizontal="center" vertical="center"/>
    </xf>
    <xf numFmtId="3" fontId="125" fillId="0" borderId="134" xfId="67" applyNumberFormat="1" applyFont="1" applyBorder="1" applyAlignment="1">
      <alignment horizontal="center" vertical="center"/>
    </xf>
    <xf numFmtId="3" fontId="115" fillId="0" borderId="133" xfId="67" applyNumberFormat="1" applyFont="1" applyBorder="1" applyAlignment="1">
      <alignment horizontal="center" vertical="center"/>
    </xf>
    <xf numFmtId="3" fontId="115" fillId="0" borderId="135" xfId="67" applyNumberFormat="1" applyFont="1" applyBorder="1" applyAlignment="1">
      <alignment horizontal="center" vertical="center"/>
    </xf>
    <xf numFmtId="3" fontId="125" fillId="0" borderId="133" xfId="67" applyNumberFormat="1" applyFont="1" applyBorder="1" applyAlignment="1">
      <alignment horizontal="center" vertical="center"/>
    </xf>
    <xf numFmtId="3" fontId="125" fillId="0" borderId="136" xfId="0" applyNumberFormat="1" applyFont="1" applyBorder="1" applyAlignment="1">
      <alignment horizontal="center" vertical="center"/>
    </xf>
    <xf numFmtId="3" fontId="115" fillId="0" borderId="136" xfId="0" applyNumberFormat="1" applyFont="1" applyBorder="1" applyAlignment="1">
      <alignment horizontal="center" vertical="center"/>
    </xf>
    <xf numFmtId="3" fontId="125" fillId="0" borderId="135" xfId="0" applyNumberFormat="1" applyFont="1" applyBorder="1" applyAlignment="1">
      <alignment horizontal="center" vertical="center"/>
    </xf>
    <xf numFmtId="3" fontId="125" fillId="48" borderId="43" xfId="67" applyNumberFormat="1" applyFont="1" applyFill="1" applyBorder="1" applyAlignment="1">
      <alignment horizontal="center" vertical="center"/>
    </xf>
    <xf numFmtId="173" fontId="125" fillId="47" borderId="133" xfId="0" applyNumberFormat="1" applyFont="1" applyFill="1" applyBorder="1" applyAlignment="1">
      <alignment horizontal="center" vertical="center" wrapText="1"/>
    </xf>
    <xf numFmtId="3" fontId="125" fillId="0" borderId="135" xfId="67" applyNumberFormat="1" applyFont="1" applyBorder="1" applyAlignment="1">
      <alignment horizontal="center" vertical="center"/>
    </xf>
    <xf numFmtId="173" fontId="125" fillId="47" borderId="137" xfId="0" applyNumberFormat="1" applyFont="1" applyFill="1" applyBorder="1" applyAlignment="1">
      <alignment horizontal="center" vertical="center" wrapText="1"/>
    </xf>
    <xf numFmtId="10" fontId="125" fillId="48" borderId="0" xfId="187" applyNumberFormat="1" applyFont="1" applyFill="1" applyBorder="1" applyAlignment="1">
      <alignment horizontal="center" vertical="center"/>
    </xf>
    <xf numFmtId="9" fontId="125" fillId="48" borderId="0" xfId="187" applyNumberFormat="1" applyFont="1" applyFill="1" applyBorder="1" applyAlignment="1">
      <alignment horizontal="center" vertical="center"/>
    </xf>
    <xf numFmtId="169" fontId="125" fillId="48" borderId="0" xfId="187" applyNumberFormat="1" applyFont="1" applyFill="1" applyBorder="1" applyAlignment="1">
      <alignment horizontal="center" vertical="center"/>
    </xf>
    <xf numFmtId="9" fontId="125" fillId="48" borderId="0" xfId="132" applyFont="1" applyFill="1" applyBorder="1" applyAlignment="1">
      <alignment horizontal="center" vertical="center"/>
    </xf>
    <xf numFmtId="10" fontId="125" fillId="48" borderId="57" xfId="132" applyNumberFormat="1" applyFont="1" applyFill="1" applyBorder="1" applyAlignment="1">
      <alignment horizontal="center" vertical="center"/>
    </xf>
    <xf numFmtId="2" fontId="125" fillId="0" borderId="134" xfId="0" applyNumberFormat="1" applyFont="1" applyBorder="1" applyAlignment="1">
      <alignment horizontal="center" vertical="center"/>
    </xf>
    <xf numFmtId="2" fontId="125" fillId="48" borderId="134" xfId="0" applyNumberFormat="1" applyFont="1" applyFill="1" applyBorder="1" applyAlignment="1">
      <alignment horizontal="center" vertical="center"/>
    </xf>
    <xf numFmtId="169" fontId="125" fillId="0" borderId="134" xfId="132" applyNumberFormat="1" applyFont="1" applyFill="1" applyBorder="1" applyAlignment="1">
      <alignment horizontal="center" vertical="center"/>
    </xf>
    <xf numFmtId="169" fontId="125" fillId="48" borderId="134" xfId="132" applyNumberFormat="1" applyFont="1" applyFill="1" applyBorder="1" applyAlignment="1">
      <alignment horizontal="center" vertical="center"/>
    </xf>
    <xf numFmtId="10" fontId="125" fillId="0" borderId="134" xfId="187" applyNumberFormat="1" applyFont="1" applyFill="1" applyBorder="1" applyAlignment="1">
      <alignment horizontal="center" vertical="center"/>
    </xf>
    <xf numFmtId="9" fontId="125" fillId="0" borderId="134" xfId="187" applyNumberFormat="1" applyFont="1" applyFill="1" applyBorder="1" applyAlignment="1">
      <alignment horizontal="center" vertical="center"/>
    </xf>
    <xf numFmtId="169" fontId="125" fillId="0" borderId="134" xfId="187" applyNumberFormat="1" applyFont="1" applyFill="1" applyBorder="1" applyAlignment="1">
      <alignment horizontal="center" vertical="center"/>
    </xf>
    <xf numFmtId="9" fontId="125" fillId="0" borderId="134" xfId="132" applyFont="1" applyFill="1" applyBorder="1" applyAlignment="1">
      <alignment horizontal="center" vertical="center"/>
    </xf>
    <xf numFmtId="10" fontId="125" fillId="0" borderId="138" xfId="132" applyNumberFormat="1" applyFont="1" applyFill="1" applyBorder="1" applyAlignment="1">
      <alignment horizontal="center" vertical="center"/>
    </xf>
    <xf numFmtId="10" fontId="125" fillId="0" borderId="134" xfId="132" applyNumberFormat="1" applyFont="1" applyFill="1" applyBorder="1" applyAlignment="1">
      <alignment horizontal="center" vertical="center"/>
    </xf>
    <xf numFmtId="169" fontId="125" fillId="0" borderId="135" xfId="132" applyNumberFormat="1" applyFont="1" applyFill="1" applyBorder="1" applyAlignment="1">
      <alignment horizontal="center" vertical="center"/>
    </xf>
    <xf numFmtId="3" fontId="133" fillId="0" borderId="30" xfId="67" applyNumberFormat="1" applyFont="1" applyBorder="1" applyAlignment="1">
      <alignment horizontal="center" vertical="center"/>
    </xf>
    <xf numFmtId="3" fontId="133" fillId="0" borderId="0" xfId="67" applyNumberFormat="1" applyFont="1" applyAlignment="1">
      <alignment horizontal="center" vertical="center"/>
    </xf>
    <xf numFmtId="202" fontId="115" fillId="49" borderId="0" xfId="0" applyNumberFormat="1" applyFont="1" applyFill="1" applyAlignment="1">
      <alignment horizontal="center" vertical="center" wrapText="1"/>
    </xf>
    <xf numFmtId="1" fontId="115" fillId="51" borderId="30" xfId="0" applyNumberFormat="1" applyFont="1" applyFill="1" applyBorder="1" applyAlignment="1">
      <alignment horizontal="center" vertical="center"/>
    </xf>
    <xf numFmtId="3" fontId="115" fillId="51" borderId="31" xfId="67" applyNumberFormat="1" applyFont="1" applyFill="1" applyBorder="1" applyAlignment="1">
      <alignment horizontal="center" vertical="center"/>
    </xf>
    <xf numFmtId="15" fontId="159" fillId="0" borderId="139" xfId="186" applyNumberFormat="1" applyFont="1" applyBorder="1" applyAlignment="1">
      <alignment horizontal="center" vertical="center"/>
    </xf>
    <xf numFmtId="10" fontId="125" fillId="48" borderId="0" xfId="132" applyNumberFormat="1" applyFont="1" applyFill="1" applyBorder="1" applyAlignment="1">
      <alignment horizontal="center" vertical="center"/>
    </xf>
    <xf numFmtId="170" fontId="120" fillId="0" borderId="0" xfId="184" applyNumberFormat="1" applyFont="1" applyAlignment="1">
      <alignment horizontal="left" vertical="center"/>
    </xf>
    <xf numFmtId="43" fontId="46" fillId="0" borderId="0" xfId="187" applyFont="1"/>
    <xf numFmtId="43" fontId="165" fillId="0" borderId="0" xfId="187" applyFont="1" applyAlignment="1">
      <alignment vertical="center"/>
    </xf>
    <xf numFmtId="43" fontId="47" fillId="0" borderId="0" xfId="187" applyFont="1" applyAlignment="1">
      <alignment vertical="center"/>
    </xf>
    <xf numFmtId="3" fontId="56" fillId="0" borderId="0" xfId="184" applyNumberFormat="1" applyFont="1"/>
    <xf numFmtId="10" fontId="56" fillId="0" borderId="0" xfId="132" applyNumberFormat="1" applyFont="1"/>
    <xf numFmtId="9" fontId="45" fillId="0" borderId="0" xfId="132" applyFont="1"/>
    <xf numFmtId="173" fontId="159" fillId="0" borderId="0" xfId="186" applyNumberFormat="1" applyFont="1" applyAlignment="1">
      <alignment horizontal="left" vertical="center" wrapText="1"/>
    </xf>
    <xf numFmtId="173" fontId="159" fillId="0" borderId="0" xfId="186" applyNumberFormat="1" applyFont="1" applyAlignment="1">
      <alignment horizontal="center" vertical="center" wrapText="1"/>
    </xf>
    <xf numFmtId="179" fontId="155" fillId="34" borderId="140" xfId="186" applyNumberFormat="1" applyFont="1" applyFill="1" applyBorder="1" applyAlignment="1">
      <alignment horizontal="left" vertical="center" wrapText="1"/>
    </xf>
    <xf numFmtId="3" fontId="155" fillId="34" borderId="140" xfId="186" applyNumberFormat="1" applyFont="1" applyFill="1" applyBorder="1" applyAlignment="1">
      <alignment horizontal="center"/>
    </xf>
    <xf numFmtId="169" fontId="159" fillId="34" borderId="140" xfId="132" applyNumberFormat="1" applyFont="1" applyFill="1" applyBorder="1" applyAlignment="1">
      <alignment horizontal="center"/>
    </xf>
    <xf numFmtId="173" fontId="159" fillId="0" borderId="49" xfId="186" applyNumberFormat="1" applyFont="1" applyBorder="1" applyAlignment="1">
      <alignment horizontal="center" vertical="center" wrapText="1"/>
    </xf>
    <xf numFmtId="10" fontId="155" fillId="34" borderId="140" xfId="132" applyNumberFormat="1" applyFont="1" applyFill="1" applyBorder="1" applyAlignment="1">
      <alignment horizontal="center"/>
    </xf>
    <xf numFmtId="10" fontId="155" fillId="34" borderId="0" xfId="132" applyNumberFormat="1" applyFont="1" applyFill="1" applyBorder="1" applyAlignment="1">
      <alignment horizontal="center"/>
    </xf>
    <xf numFmtId="10" fontId="155" fillId="0" borderId="49" xfId="132" applyNumberFormat="1" applyFont="1" applyFill="1" applyBorder="1" applyAlignment="1">
      <alignment horizontal="center" vertical="center" wrapText="1"/>
    </xf>
    <xf numFmtId="10" fontId="155" fillId="0" borderId="0" xfId="132" applyNumberFormat="1" applyFont="1" applyFill="1" applyBorder="1" applyAlignment="1">
      <alignment horizontal="center" vertical="center" wrapText="1"/>
    </xf>
    <xf numFmtId="10" fontId="155" fillId="0" borderId="0" xfId="132" applyNumberFormat="1" applyFont="1" applyFill="1" applyBorder="1" applyAlignment="1">
      <alignment horizontal="center"/>
    </xf>
    <xf numFmtId="0" fontId="125" fillId="50" borderId="39" xfId="186" applyFont="1" applyFill="1" applyBorder="1" applyAlignment="1">
      <alignment horizontal="center" vertical="center" wrapText="1"/>
    </xf>
    <xf numFmtId="204" fontId="125" fillId="0" borderId="37" xfId="186" applyNumberFormat="1" applyFont="1" applyBorder="1" applyAlignment="1">
      <alignment horizontal="center" vertical="center"/>
    </xf>
    <xf numFmtId="3" fontId="125" fillId="0" borderId="37" xfId="186" applyNumberFormat="1" applyFont="1" applyBorder="1" applyAlignment="1">
      <alignment horizontal="center" vertical="center"/>
    </xf>
    <xf numFmtId="3" fontId="125" fillId="0" borderId="47" xfId="186" applyNumberFormat="1" applyFont="1" applyBorder="1" applyAlignment="1">
      <alignment horizontal="center" vertical="center"/>
    </xf>
    <xf numFmtId="204" fontId="115" fillId="0" borderId="35" xfId="186" applyNumberFormat="1" applyFont="1" applyBorder="1" applyAlignment="1">
      <alignment horizontal="center" vertical="center"/>
    </xf>
    <xf numFmtId="3" fontId="115" fillId="0" borderId="108" xfId="186" applyNumberFormat="1" applyFont="1" applyBorder="1" applyAlignment="1">
      <alignment horizontal="center" vertical="center"/>
    </xf>
    <xf numFmtId="204" fontId="115" fillId="0" borderId="0" xfId="186" applyNumberFormat="1" applyFont="1" applyAlignment="1">
      <alignment horizontal="center" vertical="center"/>
    </xf>
    <xf numFmtId="3" fontId="115" fillId="0" borderId="0" xfId="186" applyNumberFormat="1" applyFont="1" applyAlignment="1">
      <alignment horizontal="center" vertical="center"/>
    </xf>
    <xf numFmtId="3" fontId="115" fillId="0" borderId="123" xfId="186" applyNumberFormat="1" applyFont="1" applyBorder="1" applyAlignment="1">
      <alignment horizontal="center" vertical="center"/>
    </xf>
    <xf numFmtId="3" fontId="115" fillId="0" borderId="142" xfId="186" applyNumberFormat="1" applyFont="1" applyBorder="1" applyAlignment="1">
      <alignment horizontal="center" vertical="center"/>
    </xf>
    <xf numFmtId="3" fontId="125" fillId="0" borderId="37" xfId="0" applyNumberFormat="1" applyFont="1" applyBorder="1" applyAlignment="1">
      <alignment horizontal="center" vertical="center"/>
    </xf>
    <xf numFmtId="3" fontId="115" fillId="0" borderId="109" xfId="186" applyNumberFormat="1" applyFont="1" applyBorder="1" applyAlignment="1">
      <alignment horizontal="center" vertical="center"/>
    </xf>
    <xf numFmtId="204" fontId="115" fillId="0" borderId="93" xfId="186" applyNumberFormat="1" applyFont="1" applyBorder="1" applyAlignment="1">
      <alignment horizontal="center" vertical="center"/>
    </xf>
    <xf numFmtId="0" fontId="115" fillId="0" borderId="95" xfId="186" applyFont="1" applyBorder="1" applyAlignment="1">
      <alignment horizontal="center" vertical="center"/>
    </xf>
    <xf numFmtId="3" fontId="115" fillId="0" borderId="35" xfId="186" applyNumberFormat="1" applyFont="1" applyBorder="1" applyAlignment="1">
      <alignment horizontal="center" vertical="center"/>
    </xf>
    <xf numFmtId="3" fontId="125" fillId="0" borderId="144" xfId="0" applyNumberFormat="1" applyFont="1" applyBorder="1" applyAlignment="1">
      <alignment horizontal="center" vertical="center"/>
    </xf>
    <xf numFmtId="1" fontId="125" fillId="0" borderId="37" xfId="186" applyNumberFormat="1" applyFont="1" applyBorder="1" applyAlignment="1">
      <alignment horizontal="center" vertical="center"/>
    </xf>
    <xf numFmtId="9" fontId="115" fillId="0" borderId="35" xfId="132" applyFont="1" applyFill="1" applyBorder="1" applyAlignment="1">
      <alignment horizontal="center" vertical="center"/>
    </xf>
    <xf numFmtId="169" fontId="115" fillId="34" borderId="93" xfId="132" applyNumberFormat="1" applyFont="1" applyFill="1" applyBorder="1" applyAlignment="1">
      <alignment horizontal="center" vertical="center"/>
    </xf>
    <xf numFmtId="170" fontId="115" fillId="0" borderId="35" xfId="186" applyNumberFormat="1" applyFont="1" applyBorder="1" applyAlignment="1">
      <alignment horizontal="center" vertical="center"/>
    </xf>
    <xf numFmtId="170" fontId="115" fillId="0" borderId="108" xfId="186" applyNumberFormat="1" applyFont="1" applyBorder="1" applyAlignment="1">
      <alignment horizontal="center" vertical="center"/>
    </xf>
    <xf numFmtId="170" fontId="115" fillId="34" borderId="35" xfId="132" applyNumberFormat="1" applyFont="1" applyFill="1" applyBorder="1" applyAlignment="1">
      <alignment horizontal="center" vertical="center"/>
    </xf>
    <xf numFmtId="170" fontId="115" fillId="0" borderId="109" xfId="186" applyNumberFormat="1" applyFont="1" applyBorder="1" applyAlignment="1">
      <alignment horizontal="center" vertical="center"/>
    </xf>
    <xf numFmtId="170" fontId="115" fillId="0" borderId="93" xfId="186" applyNumberFormat="1" applyFont="1" applyBorder="1" applyAlignment="1">
      <alignment horizontal="center" vertical="center"/>
    </xf>
    <xf numFmtId="170" fontId="115" fillId="34" borderId="93" xfId="132" applyNumberFormat="1" applyFont="1" applyFill="1" applyBorder="1" applyAlignment="1">
      <alignment horizontal="center" vertical="center"/>
    </xf>
    <xf numFmtId="0" fontId="115" fillId="34" borderId="39" xfId="186" applyFont="1" applyFill="1" applyBorder="1"/>
    <xf numFmtId="9" fontId="142" fillId="0" borderId="39" xfId="0" applyNumberFormat="1" applyFont="1" applyBorder="1" applyAlignment="1">
      <alignment horizontal="center" vertical="center"/>
    </xf>
    <xf numFmtId="0" fontId="123" fillId="0" borderId="0" xfId="184" applyFont="1"/>
    <xf numFmtId="1" fontId="121" fillId="0" borderId="0" xfId="186" applyNumberFormat="1" applyFont="1"/>
    <xf numFmtId="0" fontId="126" fillId="0" borderId="0" xfId="186" applyFont="1"/>
    <xf numFmtId="1" fontId="126" fillId="0" borderId="0" xfId="186" applyNumberFormat="1" applyFont="1"/>
    <xf numFmtId="9" fontId="126" fillId="0" borderId="0" xfId="132" applyFont="1"/>
    <xf numFmtId="169" fontId="126" fillId="0" borderId="0" xfId="132" applyNumberFormat="1" applyFont="1"/>
    <xf numFmtId="196" fontId="123" fillId="0" borderId="0" xfId="184" applyNumberFormat="1" applyFont="1"/>
    <xf numFmtId="196" fontId="123" fillId="0" borderId="0" xfId="184" applyNumberFormat="1" applyFont="1" applyAlignment="1">
      <alignment horizontal="center"/>
    </xf>
    <xf numFmtId="174" fontId="123" fillId="0" borderId="0" xfId="184" applyNumberFormat="1" applyFont="1"/>
    <xf numFmtId="174" fontId="123" fillId="0" borderId="0" xfId="184" applyNumberFormat="1" applyFont="1" applyAlignment="1">
      <alignment horizontal="center"/>
    </xf>
    <xf numFmtId="179" fontId="115" fillId="34" borderId="35" xfId="132" applyNumberFormat="1" applyFont="1" applyFill="1" applyBorder="1" applyAlignment="1">
      <alignment horizontal="center" vertical="center"/>
    </xf>
    <xf numFmtId="205" fontId="115" fillId="34" borderId="35" xfId="132" applyNumberFormat="1" applyFont="1" applyFill="1" applyBorder="1" applyAlignment="1">
      <alignment horizontal="center" vertical="center"/>
    </xf>
    <xf numFmtId="1" fontId="115" fillId="34" borderId="93" xfId="132" applyNumberFormat="1" applyFont="1" applyFill="1" applyBorder="1" applyAlignment="1">
      <alignment horizontal="center" vertical="center"/>
    </xf>
    <xf numFmtId="1" fontId="115" fillId="0" borderId="35" xfId="186" applyNumberFormat="1" applyFont="1" applyBorder="1" applyAlignment="1">
      <alignment horizontal="center" vertical="center"/>
    </xf>
    <xf numFmtId="3" fontId="115" fillId="0" borderId="35" xfId="132" applyNumberFormat="1" applyFont="1" applyFill="1" applyBorder="1" applyAlignment="1">
      <alignment horizontal="center" vertical="center"/>
    </xf>
    <xf numFmtId="10" fontId="46" fillId="0" borderId="0" xfId="0" applyNumberFormat="1" applyFont="1" applyAlignment="1">
      <alignment vertical="center"/>
    </xf>
    <xf numFmtId="194" fontId="46" fillId="0" borderId="0" xfId="187" applyNumberFormat="1" applyFont="1" applyAlignment="1">
      <alignment vertical="center"/>
    </xf>
    <xf numFmtId="3" fontId="64" fillId="0" borderId="0" xfId="184" applyNumberFormat="1" applyFont="1" applyAlignment="1">
      <alignment horizontal="left" vertical="center"/>
    </xf>
    <xf numFmtId="0" fontId="115" fillId="51" borderId="127" xfId="186" applyFont="1" applyFill="1" applyBorder="1" applyAlignment="1">
      <alignment horizontal="left" vertical="center" wrapText="1"/>
    </xf>
    <xf numFmtId="0" fontId="115" fillId="51" borderId="100" xfId="186" applyFont="1" applyFill="1" applyBorder="1" applyAlignment="1">
      <alignment horizontal="left" vertical="center" wrapText="1"/>
    </xf>
    <xf numFmtId="0" fontId="125" fillId="51" borderId="41" xfId="186" applyFont="1" applyFill="1" applyBorder="1" applyAlignment="1">
      <alignment horizontal="left" vertical="center" wrapText="1"/>
    </xf>
    <xf numFmtId="0" fontId="125" fillId="51" borderId="40" xfId="186" applyFont="1" applyFill="1" applyBorder="1" applyAlignment="1">
      <alignment horizontal="left" vertical="center" wrapText="1"/>
    </xf>
    <xf numFmtId="0" fontId="115" fillId="51" borderId="143" xfId="186" applyFont="1" applyFill="1" applyBorder="1" applyAlignment="1">
      <alignment horizontal="left" vertical="center" wrapText="1"/>
    </xf>
    <xf numFmtId="0" fontId="115" fillId="51" borderId="131" xfId="186" applyFont="1" applyFill="1" applyBorder="1" applyAlignment="1">
      <alignment horizontal="left" vertical="center" wrapText="1"/>
    </xf>
    <xf numFmtId="9" fontId="115" fillId="0" borderId="108" xfId="132" applyFont="1" applyBorder="1" applyAlignment="1">
      <alignment horizontal="center" vertical="center"/>
    </xf>
    <xf numFmtId="170" fontId="115" fillId="0" borderId="36" xfId="186" applyNumberFormat="1" applyFont="1" applyBorder="1" applyAlignment="1">
      <alignment horizontal="center" vertical="center"/>
    </xf>
    <xf numFmtId="10" fontId="155" fillId="0" borderId="140" xfId="132" applyNumberFormat="1" applyFont="1" applyFill="1" applyBorder="1" applyAlignment="1">
      <alignment horizontal="center"/>
    </xf>
    <xf numFmtId="10" fontId="155" fillId="0" borderId="0" xfId="132" applyNumberFormat="1" applyFont="1" applyFill="1" applyAlignment="1">
      <alignment horizontal="center" vertical="center" wrapText="1"/>
    </xf>
    <xf numFmtId="169" fontId="125" fillId="48" borderId="43" xfId="132" applyNumberFormat="1" applyFont="1" applyFill="1" applyBorder="1" applyAlignment="1">
      <alignment horizontal="center" vertical="center"/>
    </xf>
    <xf numFmtId="1" fontId="115" fillId="0" borderId="95" xfId="186" applyNumberFormat="1" applyFont="1" applyBorder="1" applyAlignment="1">
      <alignment horizontal="center" vertical="center"/>
    </xf>
    <xf numFmtId="0" fontId="125" fillId="37" borderId="92" xfId="0" applyFont="1" applyFill="1" applyBorder="1" applyAlignment="1">
      <alignment horizontal="left" vertical="center" wrapText="1"/>
    </xf>
    <xf numFmtId="1" fontId="125" fillId="37" borderId="146" xfId="0" applyNumberFormat="1" applyFont="1" applyFill="1" applyBorder="1" applyAlignment="1">
      <alignment horizontal="center" vertical="center" wrapText="1"/>
    </xf>
    <xf numFmtId="3" fontId="115" fillId="34" borderId="0" xfId="132" applyNumberFormat="1" applyFont="1" applyFill="1" applyBorder="1" applyAlignment="1">
      <alignment horizontal="center" vertical="center"/>
    </xf>
    <xf numFmtId="3" fontId="115" fillId="34" borderId="49" xfId="132" applyNumberFormat="1" applyFont="1" applyFill="1" applyBorder="1" applyAlignment="1">
      <alignment horizontal="center" vertical="center"/>
    </xf>
    <xf numFmtId="0" fontId="114" fillId="0" borderId="0" xfId="0" applyFont="1" applyAlignment="1">
      <alignment horizontal="left" vertical="center" wrapText="1"/>
    </xf>
    <xf numFmtId="3" fontId="115" fillId="0" borderId="49" xfId="67" applyNumberFormat="1" applyFont="1" applyBorder="1" applyAlignment="1">
      <alignment horizontal="center" vertical="center"/>
    </xf>
    <xf numFmtId="3" fontId="125" fillId="0" borderId="44" xfId="67" applyNumberFormat="1" applyFont="1" applyBorder="1" applyAlignment="1">
      <alignment horizontal="center" vertical="center"/>
    </xf>
    <xf numFmtId="3" fontId="125" fillId="0" borderId="49" xfId="67" applyNumberFormat="1" applyFont="1" applyBorder="1" applyAlignment="1">
      <alignment horizontal="center" vertical="center"/>
    </xf>
    <xf numFmtId="3" fontId="115" fillId="0" borderId="48" xfId="67" applyNumberFormat="1" applyFont="1" applyBorder="1" applyAlignment="1">
      <alignment horizontal="center" vertical="center"/>
    </xf>
    <xf numFmtId="3" fontId="115" fillId="0" borderId="51" xfId="67" applyNumberFormat="1" applyFont="1" applyBorder="1" applyAlignment="1">
      <alignment horizontal="center" vertical="center"/>
    </xf>
    <xf numFmtId="3" fontId="125" fillId="0" borderId="48" xfId="67" applyNumberFormat="1" applyFont="1" applyBorder="1" applyAlignment="1">
      <alignment horizontal="center" vertical="center"/>
    </xf>
    <xf numFmtId="3" fontId="125" fillId="0" borderId="54" xfId="0" applyNumberFormat="1" applyFont="1" applyBorder="1" applyAlignment="1">
      <alignment horizontal="center" vertical="center"/>
    </xf>
    <xf numFmtId="3" fontId="115" fillId="0" borderId="54" xfId="0" applyNumberFormat="1" applyFont="1" applyBorder="1" applyAlignment="1">
      <alignment horizontal="center" vertical="center"/>
    </xf>
    <xf numFmtId="3" fontId="125" fillId="0" borderId="51" xfId="0" applyNumberFormat="1" applyFont="1" applyBorder="1" applyAlignment="1">
      <alignment horizontal="center" vertical="center"/>
    </xf>
    <xf numFmtId="3" fontId="125" fillId="0" borderId="51" xfId="67" applyNumberFormat="1" applyFont="1" applyBorder="1" applyAlignment="1">
      <alignment horizontal="center" vertical="center"/>
    </xf>
    <xf numFmtId="2" fontId="125" fillId="0" borderId="49" xfId="0" applyNumberFormat="1" applyFont="1" applyBorder="1" applyAlignment="1">
      <alignment horizontal="center" vertical="center"/>
    </xf>
    <xf numFmtId="2" fontId="125" fillId="48" borderId="147" xfId="0" applyNumberFormat="1" applyFont="1" applyFill="1" applyBorder="1" applyAlignment="1">
      <alignment horizontal="center" vertical="center"/>
    </xf>
    <xf numFmtId="169" fontId="125" fillId="48" borderId="147" xfId="132" applyNumberFormat="1" applyFont="1" applyFill="1" applyBorder="1" applyAlignment="1">
      <alignment horizontal="center" vertical="center"/>
    </xf>
    <xf numFmtId="3" fontId="133" fillId="51" borderId="30" xfId="67" applyNumberFormat="1" applyFont="1" applyFill="1" applyBorder="1" applyAlignment="1">
      <alignment horizontal="center" vertical="center"/>
    </xf>
    <xf numFmtId="3" fontId="133" fillId="51" borderId="31" xfId="67" applyNumberFormat="1" applyFont="1" applyFill="1" applyBorder="1" applyAlignment="1">
      <alignment horizontal="center" vertical="center"/>
    </xf>
    <xf numFmtId="3" fontId="133" fillId="51" borderId="0" xfId="67" applyNumberFormat="1" applyFont="1" applyFill="1" applyAlignment="1">
      <alignment horizontal="center" vertical="center"/>
    </xf>
    <xf numFmtId="3" fontId="115" fillId="51" borderId="30" xfId="67" applyNumberFormat="1" applyFont="1" applyFill="1" applyBorder="1" applyAlignment="1">
      <alignment horizontal="center" vertical="center"/>
    </xf>
    <xf numFmtId="3" fontId="115" fillId="51" borderId="0" xfId="0" applyNumberFormat="1" applyFont="1" applyFill="1" applyAlignment="1">
      <alignment horizontal="center" vertical="center"/>
    </xf>
    <xf numFmtId="3" fontId="115" fillId="51" borderId="0" xfId="67" applyNumberFormat="1" applyFont="1" applyFill="1" applyAlignment="1">
      <alignment horizontal="center" vertical="center"/>
    </xf>
    <xf numFmtId="3" fontId="115" fillId="0" borderId="49" xfId="0" applyNumberFormat="1" applyFont="1" applyBorder="1" applyAlignment="1">
      <alignment horizontal="center"/>
    </xf>
    <xf numFmtId="3" fontId="125" fillId="0" borderId="49" xfId="0" applyNumberFormat="1" applyFont="1" applyBorder="1" applyAlignment="1">
      <alignment horizontal="center"/>
    </xf>
    <xf numFmtId="3" fontId="125" fillId="0" borderId="49" xfId="0" applyNumberFormat="1" applyFont="1" applyBorder="1" applyAlignment="1">
      <alignment horizontal="center" vertical="center"/>
    </xf>
    <xf numFmtId="9" fontId="125" fillId="0" borderId="49" xfId="0" applyNumberFormat="1" applyFont="1" applyBorder="1" applyAlignment="1">
      <alignment horizontal="center" vertical="center"/>
    </xf>
    <xf numFmtId="9" fontId="115" fillId="0" borderId="49" xfId="0" applyNumberFormat="1" applyFont="1" applyBorder="1" applyAlignment="1">
      <alignment horizontal="center" vertical="center"/>
    </xf>
    <xf numFmtId="9" fontId="142" fillId="0" borderId="51" xfId="0" applyNumberFormat="1" applyFont="1" applyBorder="1" applyAlignment="1">
      <alignment horizontal="center" vertical="center"/>
    </xf>
    <xf numFmtId="3" fontId="115" fillId="0" borderId="49" xfId="0" applyNumberFormat="1" applyFont="1" applyBorder="1" applyAlignment="1">
      <alignment horizontal="center" vertical="center"/>
    </xf>
    <xf numFmtId="3" fontId="147" fillId="0" borderId="49" xfId="0" applyNumberFormat="1" applyFont="1" applyBorder="1" applyAlignment="1">
      <alignment horizontal="center" vertical="center"/>
    </xf>
    <xf numFmtId="1" fontId="115" fillId="0" borderId="49" xfId="0" applyNumberFormat="1" applyFont="1" applyBorder="1" applyAlignment="1">
      <alignment horizontal="center" vertical="center"/>
    </xf>
    <xf numFmtId="2" fontId="115" fillId="0" borderId="49" xfId="0" applyNumberFormat="1" applyFont="1" applyBorder="1" applyAlignment="1">
      <alignment horizontal="center" vertical="center"/>
    </xf>
    <xf numFmtId="1" fontId="115" fillId="0" borderId="102" xfId="0" applyNumberFormat="1" applyFont="1" applyBorder="1" applyAlignment="1">
      <alignment horizontal="center" vertical="center"/>
    </xf>
    <xf numFmtId="1" fontId="115" fillId="0" borderId="106" xfId="0" applyNumberFormat="1" applyFont="1" applyBorder="1" applyAlignment="1">
      <alignment horizontal="center" vertical="center"/>
    </xf>
    <xf numFmtId="1" fontId="115" fillId="0" borderId="98" xfId="0" applyNumberFormat="1" applyFont="1" applyBorder="1" applyAlignment="1">
      <alignment horizontal="center" vertical="center" wrapText="1"/>
    </xf>
    <xf numFmtId="3" fontId="125" fillId="0" borderId="49" xfId="186" applyNumberFormat="1" applyFont="1" applyBorder="1" applyAlignment="1">
      <alignment horizontal="center"/>
    </xf>
    <xf numFmtId="3" fontId="115" fillId="0" borderId="49" xfId="186" applyNumberFormat="1" applyFont="1" applyBorder="1" applyAlignment="1">
      <alignment horizontal="center"/>
    </xf>
    <xf numFmtId="3" fontId="115" fillId="0" borderId="51" xfId="186" applyNumberFormat="1" applyFont="1" applyBorder="1" applyAlignment="1">
      <alignment horizontal="center"/>
    </xf>
    <xf numFmtId="0" fontId="125" fillId="0" borderId="49" xfId="186" applyFont="1" applyBorder="1" applyAlignment="1">
      <alignment horizontal="center"/>
    </xf>
    <xf numFmtId="10" fontId="155" fillId="0" borderId="141" xfId="132" applyNumberFormat="1" applyFont="1" applyFill="1" applyBorder="1" applyAlignment="1">
      <alignment horizontal="center"/>
    </xf>
    <xf numFmtId="10" fontId="155" fillId="0" borderId="49" xfId="132" applyNumberFormat="1" applyFont="1" applyFill="1" applyBorder="1" applyAlignment="1">
      <alignment horizontal="center"/>
    </xf>
    <xf numFmtId="1" fontId="115" fillId="0" borderId="93" xfId="186" applyNumberFormat="1" applyFont="1" applyBorder="1" applyAlignment="1">
      <alignment horizontal="center" vertical="center"/>
    </xf>
    <xf numFmtId="3" fontId="115" fillId="0" borderId="49" xfId="0" applyNumberFormat="1" applyFont="1" applyBorder="1" applyAlignment="1">
      <alignment horizontal="center" vertical="center" wrapText="1"/>
    </xf>
    <xf numFmtId="3" fontId="115" fillId="0" borderId="51" xfId="0" applyNumberFormat="1" applyFont="1" applyBorder="1" applyAlignment="1">
      <alignment horizontal="center" vertical="center" wrapText="1"/>
    </xf>
    <xf numFmtId="3" fontId="125" fillId="0" borderId="102" xfId="0" applyNumberFormat="1" applyFont="1" applyBorder="1" applyAlignment="1">
      <alignment horizontal="center" vertical="center"/>
    </xf>
    <xf numFmtId="3" fontId="115" fillId="0" borderId="106" xfId="0" applyNumberFormat="1" applyFont="1" applyBorder="1" applyAlignment="1">
      <alignment horizontal="center" vertical="center"/>
    </xf>
    <xf numFmtId="3" fontId="115" fillId="0" borderId="51" xfId="0" applyNumberFormat="1" applyFont="1" applyBorder="1" applyAlignment="1">
      <alignment horizontal="center" vertical="center"/>
    </xf>
    <xf numFmtId="4" fontId="115" fillId="0" borderId="49" xfId="0" applyNumberFormat="1" applyFont="1" applyBorder="1" applyAlignment="1">
      <alignment horizontal="center" vertical="center"/>
    </xf>
    <xf numFmtId="199" fontId="115" fillId="0" borderId="51" xfId="0" applyNumberFormat="1" applyFont="1" applyBorder="1" applyAlignment="1">
      <alignment horizontal="center" vertical="center"/>
    </xf>
    <xf numFmtId="0" fontId="115" fillId="0" borderId="49" xfId="0" applyFont="1" applyBorder="1" applyAlignment="1">
      <alignment horizontal="center" vertical="center" wrapText="1"/>
    </xf>
    <xf numFmtId="0" fontId="115" fillId="0" borderId="148" xfId="0" applyFont="1" applyBorder="1" applyAlignment="1">
      <alignment horizontal="center" vertical="center" wrapText="1"/>
    </xf>
    <xf numFmtId="206" fontId="126" fillId="0" borderId="0" xfId="0" applyNumberFormat="1" applyFont="1" applyAlignment="1">
      <alignment vertical="center"/>
    </xf>
    <xf numFmtId="3" fontId="125" fillId="0" borderId="147" xfId="0" applyNumberFormat="1" applyFont="1" applyBorder="1" applyAlignment="1">
      <alignment horizontal="center" vertical="center"/>
    </xf>
    <xf numFmtId="3" fontId="125" fillId="34" borderId="149" xfId="0" applyNumberFormat="1" applyFont="1" applyFill="1" applyBorder="1" applyAlignment="1">
      <alignment horizontal="center" vertical="center"/>
    </xf>
    <xf numFmtId="0" fontId="132" fillId="50" borderId="0" xfId="0" applyFont="1" applyFill="1" applyAlignment="1">
      <alignment horizontal="left" vertical="center"/>
    </xf>
    <xf numFmtId="0" fontId="125" fillId="50" borderId="0" xfId="0" applyFont="1" applyFill="1" applyAlignment="1">
      <alignment horizontal="center" vertical="center" wrapText="1"/>
    </xf>
    <xf numFmtId="0" fontId="115" fillId="0" borderId="0" xfId="0" applyFont="1" applyAlignment="1">
      <alignment horizontal="left" vertical="center"/>
    </xf>
    <xf numFmtId="0" fontId="125" fillId="53" borderId="0" xfId="0" applyFont="1" applyFill="1" applyAlignment="1">
      <alignment horizontal="left" vertical="center" wrapText="1"/>
    </xf>
    <xf numFmtId="1" fontId="125" fillId="53" borderId="0" xfId="0" applyNumberFormat="1" applyFont="1" applyFill="1" applyAlignment="1">
      <alignment horizontal="center" vertical="center" wrapText="1"/>
    </xf>
    <xf numFmtId="1" fontId="115" fillId="48" borderId="0" xfId="0" applyNumberFormat="1" applyFont="1" applyFill="1" applyAlignment="1">
      <alignment horizontal="center" vertical="center"/>
    </xf>
    <xf numFmtId="0" fontId="125" fillId="37" borderId="0" xfId="0" applyFont="1" applyFill="1" applyAlignment="1">
      <alignment horizontal="left" vertical="center" wrapText="1"/>
    </xf>
    <xf numFmtId="179" fontId="114" fillId="0" borderId="0" xfId="186" applyNumberFormat="1" applyFont="1" applyAlignment="1">
      <alignment horizontal="left" vertical="top" wrapText="1" shrinkToFit="1"/>
    </xf>
    <xf numFmtId="207" fontId="46" fillId="0" borderId="0" xfId="0" applyNumberFormat="1" applyFont="1" applyAlignment="1">
      <alignment vertical="center"/>
    </xf>
    <xf numFmtId="208" fontId="46" fillId="0" borderId="0" xfId="0" applyNumberFormat="1" applyFont="1" applyAlignment="1">
      <alignment vertical="center"/>
    </xf>
    <xf numFmtId="208" fontId="46" fillId="34" borderId="0" xfId="0" applyNumberFormat="1" applyFont="1" applyFill="1" applyAlignment="1">
      <alignment vertical="center"/>
    </xf>
    <xf numFmtId="0" fontId="115" fillId="51" borderId="40" xfId="186" applyFont="1" applyFill="1" applyBorder="1" applyAlignment="1">
      <alignment horizontal="left" vertical="center" wrapText="1"/>
    </xf>
    <xf numFmtId="0" fontId="115" fillId="51" borderId="128" xfId="186" applyFont="1" applyFill="1" applyBorder="1" applyAlignment="1">
      <alignment horizontal="left" vertical="center" wrapText="1"/>
    </xf>
    <xf numFmtId="0" fontId="115" fillId="51" borderId="129" xfId="186" applyFont="1" applyFill="1" applyBorder="1" applyAlignment="1">
      <alignment horizontal="left" vertical="center" wrapText="1"/>
    </xf>
    <xf numFmtId="0" fontId="159" fillId="0" borderId="40" xfId="186" applyFont="1" applyBorder="1" applyAlignment="1">
      <alignment horizontal="center" vertical="center" wrapText="1"/>
    </xf>
    <xf numFmtId="0" fontId="125" fillId="0" borderId="40" xfId="186" applyFont="1" applyBorder="1" applyAlignment="1">
      <alignment horizontal="left" vertical="center" wrapText="1"/>
    </xf>
    <xf numFmtId="0" fontId="125" fillId="56" borderId="99" xfId="0" applyFont="1" applyFill="1" applyBorder="1" applyAlignment="1">
      <alignment horizontal="center" vertical="center" wrapText="1"/>
    </xf>
    <xf numFmtId="0" fontId="125" fillId="50" borderId="45" xfId="186" applyFont="1" applyFill="1" applyBorder="1" applyAlignment="1">
      <alignment horizontal="center" vertical="center" wrapText="1"/>
    </xf>
    <xf numFmtId="0" fontId="159" fillId="0" borderId="104" xfId="186" applyFont="1" applyBorder="1" applyAlignment="1">
      <alignment horizontal="left" vertical="center" wrapText="1"/>
    </xf>
    <xf numFmtId="3" fontId="159" fillId="0" borderId="107" xfId="186" applyNumberFormat="1" applyFont="1" applyBorder="1" applyAlignment="1">
      <alignment horizontal="center"/>
    </xf>
    <xf numFmtId="0" fontId="125" fillId="51" borderId="150" xfId="186" applyFont="1" applyFill="1" applyBorder="1" applyAlignment="1">
      <alignment horizontal="left" vertical="center" wrapText="1"/>
    </xf>
    <xf numFmtId="3" fontId="159" fillId="0" borderId="152" xfId="186" applyNumberFormat="1" applyFont="1" applyBorder="1" applyAlignment="1">
      <alignment horizontal="center" vertical="center"/>
    </xf>
    <xf numFmtId="0" fontId="115" fillId="51" borderId="153" xfId="186" applyFont="1" applyFill="1" applyBorder="1" applyAlignment="1">
      <alignment horizontal="left" vertical="center" wrapText="1"/>
    </xf>
    <xf numFmtId="0" fontId="125" fillId="0" borderId="155" xfId="186" applyFont="1" applyBorder="1" applyAlignment="1">
      <alignment horizontal="left" vertical="center" wrapText="1"/>
    </xf>
    <xf numFmtId="0" fontId="132" fillId="56" borderId="0" xfId="0" applyFont="1" applyFill="1" applyAlignment="1">
      <alignment horizontal="left" vertical="center" wrapText="1"/>
    </xf>
    <xf numFmtId="3" fontId="115" fillId="0" borderId="122" xfId="186" applyNumberFormat="1" applyFont="1" applyBorder="1" applyAlignment="1">
      <alignment horizontal="center" vertical="center"/>
    </xf>
    <xf numFmtId="3" fontId="125" fillId="0" borderId="151" xfId="186" applyNumberFormat="1" applyFont="1" applyBorder="1" applyAlignment="1">
      <alignment horizontal="center" vertical="center"/>
    </xf>
    <xf numFmtId="194" fontId="46" fillId="0" borderId="0" xfId="186" applyNumberFormat="1" applyFont="1"/>
    <xf numFmtId="169" fontId="46" fillId="0" borderId="0" xfId="132" applyNumberFormat="1" applyFont="1"/>
    <xf numFmtId="209" fontId="46" fillId="0" borderId="0" xfId="187" applyNumberFormat="1" applyFont="1" applyAlignment="1">
      <alignment vertical="center"/>
    </xf>
    <xf numFmtId="3" fontId="115" fillId="48" borderId="135" xfId="67" applyNumberFormat="1" applyFont="1" applyFill="1" applyBorder="1" applyAlignment="1">
      <alignment horizontal="center" vertical="center"/>
    </xf>
    <xf numFmtId="3" fontId="115" fillId="0" borderId="147" xfId="0" applyNumberFormat="1" applyFont="1" applyBorder="1" applyAlignment="1">
      <alignment horizontal="center" vertical="center"/>
    </xf>
    <xf numFmtId="3" fontId="115" fillId="34" borderId="147" xfId="0" applyNumberFormat="1" applyFont="1" applyFill="1" applyBorder="1" applyAlignment="1">
      <alignment horizontal="center" vertical="center"/>
    </xf>
    <xf numFmtId="3" fontId="115" fillId="48" borderId="0" xfId="186" applyNumberFormat="1" applyFont="1" applyFill="1" applyAlignment="1">
      <alignment horizontal="center"/>
    </xf>
    <xf numFmtId="3" fontId="125" fillId="48" borderId="0" xfId="0" applyNumberFormat="1" applyFont="1" applyFill="1" applyAlignment="1">
      <alignment horizontal="center" vertical="center"/>
    </xf>
    <xf numFmtId="209" fontId="47" fillId="0" borderId="0" xfId="187" applyNumberFormat="1" applyFont="1" applyBorder="1" applyAlignment="1">
      <alignment vertical="center"/>
    </xf>
    <xf numFmtId="9" fontId="47" fillId="0" borderId="0" xfId="132" applyFont="1" applyAlignment="1">
      <alignment vertical="center"/>
    </xf>
    <xf numFmtId="209" fontId="46" fillId="0" borderId="0" xfId="187" applyNumberFormat="1" applyFont="1"/>
    <xf numFmtId="179" fontId="46" fillId="0" borderId="0" xfId="186" applyNumberFormat="1" applyFont="1"/>
    <xf numFmtId="1" fontId="115" fillId="51" borderId="65" xfId="0" applyNumberFormat="1" applyFont="1" applyFill="1" applyBorder="1" applyAlignment="1">
      <alignment horizontal="center" vertical="center"/>
    </xf>
    <xf numFmtId="0" fontId="54" fillId="0" borderId="0" xfId="0" applyFont="1" applyAlignment="1">
      <alignment vertical="center"/>
    </xf>
    <xf numFmtId="3" fontId="47" fillId="0" borderId="0" xfId="0" applyNumberFormat="1" applyFont="1" applyAlignment="1">
      <alignment horizontal="center" vertical="center"/>
    </xf>
    <xf numFmtId="0" fontId="47" fillId="0" borderId="0" xfId="0" applyFont="1" applyAlignment="1">
      <alignment horizontal="center" vertical="center"/>
    </xf>
    <xf numFmtId="3" fontId="54" fillId="0" borderId="0" xfId="0" applyNumberFormat="1" applyFont="1" applyAlignment="1">
      <alignment horizontal="center" vertical="center"/>
    </xf>
    <xf numFmtId="0" fontId="47" fillId="0" borderId="0" xfId="0" applyFont="1" applyAlignment="1">
      <alignment vertical="center" wrapText="1"/>
    </xf>
    <xf numFmtId="0" fontId="128" fillId="34" borderId="0" xfId="0" applyFont="1" applyFill="1" applyAlignment="1">
      <alignment horizontal="left" vertical="top" wrapText="1"/>
    </xf>
    <xf numFmtId="0" fontId="114" fillId="34" borderId="0" xfId="0" applyFont="1" applyFill="1" applyAlignment="1">
      <alignment horizontal="left" vertical="top"/>
    </xf>
    <xf numFmtId="0" fontId="120" fillId="0" borderId="0" xfId="0" applyFont="1" applyAlignment="1">
      <alignment horizontal="left" vertical="top"/>
    </xf>
    <xf numFmtId="205" fontId="115" fillId="48" borderId="0" xfId="0" applyNumberFormat="1" applyFont="1" applyFill="1" applyAlignment="1">
      <alignment horizontal="center" vertical="center"/>
    </xf>
    <xf numFmtId="0" fontId="46" fillId="0" borderId="0" xfId="0" applyFont="1" applyAlignment="1">
      <alignment horizontal="right" vertical="center"/>
    </xf>
    <xf numFmtId="1" fontId="46" fillId="0" borderId="0" xfId="0" applyNumberFormat="1" applyFont="1" applyAlignment="1">
      <alignment horizontal="right" vertical="center"/>
    </xf>
    <xf numFmtId="3" fontId="46" fillId="0" borderId="0" xfId="0" applyNumberFormat="1" applyFont="1" applyAlignment="1">
      <alignment horizontal="right" vertical="center"/>
    </xf>
    <xf numFmtId="0" fontId="45" fillId="0" borderId="0" xfId="0" applyFont="1" applyAlignment="1">
      <alignment horizontal="right" vertical="center"/>
    </xf>
    <xf numFmtId="0" fontId="169" fillId="0" borderId="0" xfId="0" applyFont="1" applyAlignment="1">
      <alignment horizontal="right" vertical="center"/>
    </xf>
    <xf numFmtId="3" fontId="46" fillId="0" borderId="0" xfId="132" applyNumberFormat="1" applyFont="1" applyAlignment="1">
      <alignment vertical="center"/>
    </xf>
    <xf numFmtId="171" fontId="46" fillId="0" borderId="0" xfId="132" applyNumberFormat="1" applyFont="1" applyAlignment="1">
      <alignment vertical="center"/>
    </xf>
    <xf numFmtId="2" fontId="45" fillId="0" borderId="0" xfId="0" applyNumberFormat="1" applyFont="1" applyAlignment="1">
      <alignment vertical="center"/>
    </xf>
    <xf numFmtId="1" fontId="125" fillId="48" borderId="99" xfId="0" applyNumberFormat="1" applyFont="1" applyFill="1" applyBorder="1" applyAlignment="1">
      <alignment horizontal="center" vertical="center"/>
    </xf>
    <xf numFmtId="1" fontId="125" fillId="48" borderId="145" xfId="0" applyNumberFormat="1" applyFont="1" applyFill="1" applyBorder="1" applyAlignment="1">
      <alignment horizontal="center" vertical="center"/>
    </xf>
    <xf numFmtId="10" fontId="125" fillId="48" borderId="0" xfId="132" applyNumberFormat="1" applyFont="1" applyFill="1" applyAlignment="1">
      <alignment horizontal="center"/>
    </xf>
    <xf numFmtId="3" fontId="115" fillId="0" borderId="46" xfId="186" applyNumberFormat="1" applyFont="1" applyBorder="1" applyAlignment="1">
      <alignment horizontal="center" vertical="center"/>
    </xf>
    <xf numFmtId="0" fontId="115" fillId="56" borderId="99" xfId="0" applyFont="1" applyFill="1" applyBorder="1" applyAlignment="1">
      <alignment horizontal="center" vertical="center" wrapText="1"/>
    </xf>
    <xf numFmtId="0" fontId="125" fillId="51" borderId="131" xfId="186" applyFont="1" applyFill="1" applyBorder="1" applyAlignment="1">
      <alignment horizontal="center" vertical="center" wrapText="1"/>
    </xf>
    <xf numFmtId="204" fontId="125" fillId="0" borderId="139" xfId="186" applyNumberFormat="1" applyFont="1" applyBorder="1" applyAlignment="1">
      <alignment horizontal="center" vertical="center"/>
    </xf>
    <xf numFmtId="203" fontId="125" fillId="0" borderId="139" xfId="186" applyNumberFormat="1" applyFont="1" applyBorder="1" applyAlignment="1">
      <alignment horizontal="center" vertical="center"/>
    </xf>
    <xf numFmtId="3" fontId="125" fillId="0" borderId="139" xfId="186" applyNumberFormat="1" applyFont="1" applyBorder="1" applyAlignment="1">
      <alignment horizontal="center" vertical="center"/>
    </xf>
    <xf numFmtId="3" fontId="125" fillId="0" borderId="156" xfId="186" applyNumberFormat="1" applyFont="1" applyBorder="1" applyAlignment="1">
      <alignment horizontal="center" vertical="center"/>
    </xf>
    <xf numFmtId="3" fontId="115" fillId="0" borderId="154" xfId="186" applyNumberFormat="1" applyFont="1" applyBorder="1" applyAlignment="1">
      <alignment horizontal="center" vertical="center"/>
    </xf>
    <xf numFmtId="3" fontId="150" fillId="0" borderId="0" xfId="184" applyNumberFormat="1" applyFont="1" applyAlignment="1">
      <alignment vertical="center"/>
    </xf>
    <xf numFmtId="199" fontId="47" fillId="0" borderId="0" xfId="0" applyNumberFormat="1" applyFont="1" applyAlignment="1">
      <alignment vertical="center"/>
    </xf>
    <xf numFmtId="3" fontId="115" fillId="51" borderId="30" xfId="0" applyNumberFormat="1" applyFont="1" applyFill="1" applyBorder="1" applyAlignment="1">
      <alignment horizontal="center" vertical="center"/>
    </xf>
    <xf numFmtId="10" fontId="125" fillId="50" borderId="106" xfId="132" applyNumberFormat="1" applyFont="1" applyFill="1" applyBorder="1" applyAlignment="1">
      <alignment horizontal="center" vertical="center" wrapText="1"/>
    </xf>
    <xf numFmtId="10" fontId="125" fillId="50" borderId="157" xfId="132" applyNumberFormat="1" applyFont="1" applyFill="1" applyBorder="1" applyAlignment="1">
      <alignment horizontal="center" vertical="center" wrapText="1"/>
    </xf>
    <xf numFmtId="0" fontId="140" fillId="50" borderId="158" xfId="0" applyFont="1" applyFill="1" applyBorder="1" applyAlignment="1">
      <alignment horizontal="left" vertical="center" wrapText="1"/>
    </xf>
    <xf numFmtId="10" fontId="171" fillId="50" borderId="159" xfId="132" applyNumberFormat="1" applyFont="1" applyFill="1" applyBorder="1" applyAlignment="1">
      <alignment horizontal="center" vertical="center" wrapText="1"/>
    </xf>
    <xf numFmtId="10" fontId="171" fillId="50" borderId="160" xfId="132" applyNumberFormat="1" applyFont="1" applyFill="1" applyBorder="1" applyAlignment="1">
      <alignment horizontal="center" vertical="center" wrapText="1"/>
    </xf>
    <xf numFmtId="10" fontId="171" fillId="50" borderId="161" xfId="132" applyNumberFormat="1" applyFont="1" applyFill="1" applyBorder="1" applyAlignment="1">
      <alignment horizontal="center" vertical="center" wrapText="1"/>
    </xf>
    <xf numFmtId="3" fontId="115" fillId="0" borderId="156" xfId="186" applyNumberFormat="1" applyFont="1" applyBorder="1" applyAlignment="1">
      <alignment horizontal="center" vertical="center"/>
    </xf>
    <xf numFmtId="179" fontId="114" fillId="0" borderId="0" xfId="186" applyNumberFormat="1" applyFont="1" applyAlignment="1">
      <alignment horizontal="center" vertical="center" wrapText="1" shrinkToFit="1"/>
    </xf>
    <xf numFmtId="0" fontId="115" fillId="51" borderId="162" xfId="186" applyFont="1" applyFill="1" applyBorder="1" applyAlignment="1">
      <alignment horizontal="left" vertical="center" wrapText="1"/>
    </xf>
    <xf numFmtId="9" fontId="115" fillId="0" borderId="142" xfId="132" applyFont="1" applyBorder="1" applyAlignment="1">
      <alignment horizontal="center" vertical="center"/>
    </xf>
    <xf numFmtId="179" fontId="114" fillId="0" borderId="96" xfId="186" applyNumberFormat="1" applyFont="1" applyBorder="1" applyAlignment="1">
      <alignment horizontal="center" vertical="center" wrapText="1" shrinkToFit="1"/>
    </xf>
    <xf numFmtId="179" fontId="114" fillId="0" borderId="99" xfId="186" applyNumberFormat="1" applyFont="1" applyBorder="1" applyAlignment="1">
      <alignment horizontal="center" vertical="center" wrapText="1" shrinkToFit="1"/>
    </xf>
    <xf numFmtId="169" fontId="172" fillId="34" borderId="0" xfId="132" applyNumberFormat="1" applyFont="1" applyFill="1" applyBorder="1" applyAlignment="1">
      <alignment horizontal="center"/>
    </xf>
    <xf numFmtId="169" fontId="172" fillId="34" borderId="147" xfId="132" applyNumberFormat="1" applyFont="1" applyFill="1" applyBorder="1" applyAlignment="1">
      <alignment horizontal="center"/>
    </xf>
    <xf numFmtId="0" fontId="172" fillId="50" borderId="38" xfId="186" applyFont="1" applyFill="1" applyBorder="1" applyAlignment="1">
      <alignment horizontal="left" vertical="center"/>
    </xf>
    <xf numFmtId="9" fontId="161" fillId="0" borderId="0" xfId="132" applyFont="1" applyFill="1" applyBorder="1" applyAlignment="1">
      <alignment horizontal="center" vertical="center"/>
    </xf>
    <xf numFmtId="199" fontId="125" fillId="0" borderId="0" xfId="0" applyNumberFormat="1" applyFont="1" applyAlignment="1">
      <alignment horizontal="center" vertical="center"/>
    </xf>
    <xf numFmtId="0" fontId="173" fillId="50" borderId="40" xfId="0" applyFont="1" applyFill="1" applyBorder="1" applyAlignment="1">
      <alignment horizontal="left" vertical="center" wrapText="1"/>
    </xf>
    <xf numFmtId="0" fontId="130" fillId="0" borderId="0" xfId="68" applyFont="1" applyAlignment="1">
      <alignment horizontal="left" vertical="center" wrapText="1"/>
    </xf>
    <xf numFmtId="0" fontId="130" fillId="0" borderId="0" xfId="184" applyFont="1" applyAlignment="1">
      <alignment horizontal="justify" vertical="top" wrapText="1"/>
    </xf>
    <xf numFmtId="0" fontId="113" fillId="0" borderId="37" xfId="68" applyFont="1" applyBorder="1" applyAlignment="1">
      <alignment horizontal="center" vertical="center"/>
    </xf>
    <xf numFmtId="0" fontId="128" fillId="34" borderId="0" xfId="0" applyFont="1" applyFill="1" applyAlignment="1">
      <alignment horizontal="left" vertical="center" wrapText="1"/>
    </xf>
    <xf numFmtId="0" fontId="139" fillId="46" borderId="0" xfId="184" applyFont="1" applyFill="1" applyAlignment="1">
      <alignment horizontal="center" vertical="center"/>
    </xf>
    <xf numFmtId="0" fontId="114" fillId="34" borderId="0" xfId="0" applyFont="1" applyFill="1" applyAlignment="1">
      <alignment horizontal="left" vertical="top" wrapText="1"/>
    </xf>
    <xf numFmtId="0" fontId="114" fillId="34" borderId="0" xfId="0" applyFont="1" applyFill="1" applyAlignment="1">
      <alignment horizontal="left" vertical="center" wrapText="1"/>
    </xf>
    <xf numFmtId="0" fontId="114" fillId="0" borderId="0" xfId="184" applyFont="1" applyAlignment="1">
      <alignment horizontal="left" vertical="center" wrapText="1"/>
    </xf>
    <xf numFmtId="0" fontId="114" fillId="0" borderId="0" xfId="0" applyFont="1" applyAlignment="1">
      <alignment horizontal="left" vertical="center" wrapText="1"/>
    </xf>
    <xf numFmtId="0" fontId="145" fillId="46" borderId="0" xfId="0" applyFont="1" applyFill="1" applyAlignment="1">
      <alignment vertical="center"/>
    </xf>
    <xf numFmtId="0" fontId="114" fillId="0" borderId="0" xfId="0" applyFont="1" applyAlignment="1">
      <alignment horizontal="left" vertical="top" wrapText="1"/>
    </xf>
    <xf numFmtId="0" fontId="164" fillId="34" borderId="0" xfId="0" applyFont="1" applyFill="1" applyAlignment="1">
      <alignment horizontal="left" vertical="center" wrapText="1"/>
    </xf>
    <xf numFmtId="0" fontId="115" fillId="51" borderId="40" xfId="0" applyFont="1" applyFill="1" applyBorder="1" applyAlignment="1">
      <alignment horizontal="left" vertical="center" wrapText="1"/>
    </xf>
    <xf numFmtId="0" fontId="114" fillId="51" borderId="40" xfId="0" applyFont="1" applyFill="1" applyBorder="1" applyAlignment="1">
      <alignment horizontal="left" vertical="center" wrapText="1"/>
    </xf>
    <xf numFmtId="0" fontId="115" fillId="51" borderId="100" xfId="0" applyFont="1" applyFill="1" applyBorder="1" applyAlignment="1">
      <alignment horizontal="left" vertical="center" wrapText="1"/>
    </xf>
    <xf numFmtId="0" fontId="114" fillId="51" borderId="104" xfId="0" applyFont="1" applyFill="1" applyBorder="1" applyAlignment="1">
      <alignment horizontal="left" vertical="center" wrapText="1"/>
    </xf>
    <xf numFmtId="0" fontId="115" fillId="51" borderId="104" xfId="0" applyFont="1" applyFill="1" applyBorder="1" applyAlignment="1">
      <alignment horizontal="left" vertical="center" wrapText="1"/>
    </xf>
    <xf numFmtId="0" fontId="114" fillId="0" borderId="0" xfId="0" applyFont="1" applyAlignment="1">
      <alignment vertical="center" wrapText="1"/>
    </xf>
    <xf numFmtId="0" fontId="0" fillId="0" borderId="0" xfId="0"/>
    <xf numFmtId="0" fontId="155" fillId="0" borderId="0" xfId="184" applyFont="1" applyAlignment="1">
      <alignment horizontal="left" vertical="top" wrapText="1"/>
    </xf>
    <xf numFmtId="0" fontId="114" fillId="0" borderId="0" xfId="186" applyFont="1" applyAlignment="1">
      <alignment horizontal="left" vertical="center" wrapText="1" shrinkToFit="1"/>
    </xf>
    <xf numFmtId="0" fontId="114" fillId="0" borderId="0" xfId="0" applyFont="1"/>
    <xf numFmtId="179" fontId="114" fillId="0" borderId="0" xfId="186" applyNumberFormat="1" applyFont="1" applyAlignment="1">
      <alignment horizontal="left" vertical="center" wrapText="1" shrinkToFit="1"/>
    </xf>
    <xf numFmtId="0" fontId="160" fillId="0" borderId="0" xfId="184" applyFont="1" applyAlignment="1">
      <alignment horizontal="left" vertical="top" wrapText="1"/>
    </xf>
    <xf numFmtId="0" fontId="168" fillId="0" borderId="0" xfId="0" applyFont="1"/>
    <xf numFmtId="179" fontId="168" fillId="0" borderId="0" xfId="186" applyNumberFormat="1" applyFont="1" applyAlignment="1">
      <alignment horizontal="left" vertical="center" wrapText="1" shrinkToFit="1"/>
    </xf>
    <xf numFmtId="0" fontId="168" fillId="0" borderId="0" xfId="186" applyFont="1" applyAlignment="1">
      <alignment horizontal="left" vertical="center" wrapText="1"/>
    </xf>
    <xf numFmtId="0" fontId="120" fillId="0" borderId="0" xfId="0" applyFont="1" applyAlignment="1">
      <alignment horizontal="left" vertical="center" wrapText="1"/>
    </xf>
    <xf numFmtId="179" fontId="170" fillId="0" borderId="0" xfId="186" applyNumberFormat="1" applyFont="1" applyAlignment="1">
      <alignment horizontal="left" vertical="center" wrapText="1" shrinkToFit="1"/>
    </xf>
    <xf numFmtId="0" fontId="167" fillId="57" borderId="0" xfId="0" applyFont="1" applyFill="1" applyAlignment="1">
      <alignment horizontal="left" vertical="center" wrapText="1"/>
    </xf>
    <xf numFmtId="179" fontId="114" fillId="0" borderId="0" xfId="186" applyNumberFormat="1" applyFont="1" applyAlignment="1">
      <alignment horizontal="left" vertical="top" wrapText="1" shrinkToFit="1"/>
    </xf>
  </cellXfs>
  <cellStyles count="354">
    <cellStyle name="_ΜΕΡΙΔΙΑ ΤΡΑΠΕΖΙΚΗΣ ΑΓΟΡΑΣ" xfId="1" xr:uid="{00000000-0005-0000-0000-000000000000}"/>
    <cellStyle name="20% - Accent1 2" xfId="189" xr:uid="{F251F079-024A-4F2B-B248-8240A76249B6}"/>
    <cellStyle name="20% - Accent2 2" xfId="190" xr:uid="{402267D9-EC5C-4BE7-80B8-A86140BFC281}"/>
    <cellStyle name="20% - Accent3 2" xfId="191" xr:uid="{69ECA58B-219F-459A-A503-4CF956CE5AE3}"/>
    <cellStyle name="20% - Accent4 2" xfId="192" xr:uid="{2B673D3D-608A-4E0A-A7FB-E9B981630040}"/>
    <cellStyle name="20% - Accent5 2" xfId="193" xr:uid="{5A57DAC9-5A02-4076-BD43-66E24452157B}"/>
    <cellStyle name="20% - Accent6 2" xfId="194" xr:uid="{936490FA-6362-4289-A620-FA9A00D557F3}"/>
    <cellStyle name="20% - Énfasis1 2" xfId="290" xr:uid="{6B0FCA09-8146-425E-942C-8C7BD9EFE951}"/>
    <cellStyle name="20% - Énfasis2 2" xfId="291" xr:uid="{DC5579EE-6D31-4144-9978-C722BCDDB732}"/>
    <cellStyle name="20% - Énfasis3 2" xfId="292" xr:uid="{B0D33EB0-ADDB-4B66-9FF5-89029FEA30D4}"/>
    <cellStyle name="20% - Énfasis4 2" xfId="293" xr:uid="{F999C4C7-37DC-43D3-A32C-0A93B932C555}"/>
    <cellStyle name="20% - Énfasis5 2" xfId="294" xr:uid="{164F7FE8-B9F6-46EB-9A1A-EB8E1AAAD8A4}"/>
    <cellStyle name="20% - Énfasis6 2" xfId="295" xr:uid="{877BB7BA-2286-410F-A245-08AEA7DD9B9A}"/>
    <cellStyle name="20% - Έμφαση1" xfId="2" xr:uid="{00000000-0005-0000-0000-000001000000}"/>
    <cellStyle name="20% - Έμφαση2" xfId="3" xr:uid="{00000000-0005-0000-0000-000002000000}"/>
    <cellStyle name="20% - Έμφαση3" xfId="4" xr:uid="{00000000-0005-0000-0000-000003000000}"/>
    <cellStyle name="20% - Έμφαση4" xfId="5" xr:uid="{00000000-0005-0000-0000-000004000000}"/>
    <cellStyle name="20% - Έμφαση5" xfId="6" xr:uid="{00000000-0005-0000-0000-000005000000}"/>
    <cellStyle name="20% - Έμφαση6" xfId="7" xr:uid="{00000000-0005-0000-0000-000006000000}"/>
    <cellStyle name="40% - Accent1 2" xfId="195" xr:uid="{62626E5A-EFB9-435B-8790-9D7748951A49}"/>
    <cellStyle name="40% - Accent2 2" xfId="196" xr:uid="{DF6B0AD4-038E-4420-A11D-61D20A94D3A2}"/>
    <cellStyle name="40% - Accent3 2" xfId="197" xr:uid="{2CBB0B32-4A9F-4FB8-A397-66B64FF8317F}"/>
    <cellStyle name="40% - Accent4 2" xfId="198" xr:uid="{CB9678B4-E0EF-42A7-95F4-5124D0E12492}"/>
    <cellStyle name="40% - Accent5 2" xfId="199" xr:uid="{62FE6B18-441E-4F3D-AC6E-A29EA14632CC}"/>
    <cellStyle name="40% - Accent6 2" xfId="200" xr:uid="{33349093-A47A-4A93-903A-0201B492DA13}"/>
    <cellStyle name="40% - Énfasis1 2" xfId="296" xr:uid="{82D14BAE-43A6-4B41-A49C-7DE2D94CD669}"/>
    <cellStyle name="40% - Énfasis2 2" xfId="297" xr:uid="{C6809D7C-AC64-4503-B4F6-518B5B2D88AA}"/>
    <cellStyle name="40% - Énfasis3 2" xfId="298" xr:uid="{F111ECF3-2433-46B9-B8DC-E68751579661}"/>
    <cellStyle name="40% - Énfasis4 2" xfId="299" xr:uid="{372A998B-2FD4-4A1F-AEF5-E2194B19A8E6}"/>
    <cellStyle name="40% - Énfasis5 2" xfId="300" xr:uid="{AB8BEE18-392E-4BE6-BB9F-296A1614CB60}"/>
    <cellStyle name="40% - Énfasis6 2" xfId="301" xr:uid="{BB78DF3F-BC5D-4686-9D7F-84E6326E1141}"/>
    <cellStyle name="40% - Έμφαση1" xfId="8" xr:uid="{00000000-0005-0000-0000-000007000000}"/>
    <cellStyle name="40% - Έμφαση2" xfId="9" xr:uid="{00000000-0005-0000-0000-000008000000}"/>
    <cellStyle name="40% - Έμφαση3" xfId="10" xr:uid="{00000000-0005-0000-0000-000009000000}"/>
    <cellStyle name="40% - Έμφαση4" xfId="11" xr:uid="{00000000-0005-0000-0000-00000A000000}"/>
    <cellStyle name="40% - Έμφαση5" xfId="12" xr:uid="{00000000-0005-0000-0000-00000B000000}"/>
    <cellStyle name="40% - Έμφαση6" xfId="13" xr:uid="{00000000-0005-0000-0000-00000C000000}"/>
    <cellStyle name="60% - Accent1 2" xfId="201" xr:uid="{6747AD37-3A86-44FC-A73C-2C81F15F5BF4}"/>
    <cellStyle name="60% - Accent2 2" xfId="202" xr:uid="{8257C9ED-B622-41DE-8767-B0FB7EA51D47}"/>
    <cellStyle name="60% - Accent3 2" xfId="203" xr:uid="{C8E38F5C-784E-4572-90FC-E6F9513E8053}"/>
    <cellStyle name="60% - Accent4 2" xfId="204" xr:uid="{B491124E-481B-48D8-9553-F6CA4A9BA6FD}"/>
    <cellStyle name="60% - Accent5 2" xfId="205" xr:uid="{FB4889AA-B2A3-4491-BDB4-F43E2A416595}"/>
    <cellStyle name="60% - Accent6 2" xfId="206" xr:uid="{E697CB78-5BDA-4E8E-A51D-843A1BB48E82}"/>
    <cellStyle name="60% - Énfasis1 2" xfId="302" xr:uid="{1B27A5F1-FE71-4EBF-8395-F32B1A945D2B}"/>
    <cellStyle name="60% - Énfasis2 2" xfId="303" xr:uid="{7A8D54EE-019A-4D3B-B480-28583DA5F206}"/>
    <cellStyle name="60% - Énfasis3 2" xfId="304" xr:uid="{D0D5850C-93D0-433A-8FE6-DB93474FBCD1}"/>
    <cellStyle name="60% - Énfasis4 2" xfId="305" xr:uid="{87B63345-DA2A-45A2-8C1D-DED71AB11C1D}"/>
    <cellStyle name="60% - Énfasis5 2" xfId="306" xr:uid="{4363EE54-E45C-4465-8275-A6E9EB13BF5B}"/>
    <cellStyle name="60% - Énfasis6 2" xfId="307" xr:uid="{D712C3FC-FF69-4B77-B076-43112E2DC908}"/>
    <cellStyle name="60% - Έμφαση1" xfId="14" xr:uid="{00000000-0005-0000-0000-00000D000000}"/>
    <cellStyle name="60% - Έμφαση2" xfId="15" xr:uid="{00000000-0005-0000-0000-00000E000000}"/>
    <cellStyle name="60% - Έμφαση3" xfId="16" xr:uid="{00000000-0005-0000-0000-00000F000000}"/>
    <cellStyle name="60% - Έμφαση4" xfId="17" xr:uid="{00000000-0005-0000-0000-000010000000}"/>
    <cellStyle name="60% - Έμφαση5" xfId="18" xr:uid="{00000000-0005-0000-0000-000011000000}"/>
    <cellStyle name="60% - Έμφαση6" xfId="19" xr:uid="{00000000-0005-0000-0000-000012000000}"/>
    <cellStyle name="Accent1 2" xfId="207" xr:uid="{1DE93CA7-99F6-4E05-90D0-7070E37724EC}"/>
    <cellStyle name="Accent2 2" xfId="208" xr:uid="{CF9B51F0-4D22-49F4-BB97-C0EA3037FC5F}"/>
    <cellStyle name="Accent3 2" xfId="209" xr:uid="{80922F36-B125-42FC-BC9E-72FDDE0926F3}"/>
    <cellStyle name="Accent4 2" xfId="210" xr:uid="{17176ADB-5118-42D4-B3C8-F175CFC3BF75}"/>
    <cellStyle name="Accent5 2" xfId="211" xr:uid="{2EAC8624-6F82-4168-BF56-0281D61B1750}"/>
    <cellStyle name="Accent6 2" xfId="212" xr:uid="{B0BAA119-EBF7-486E-A65B-D29A2BEB0C16}"/>
    <cellStyle name="Bé" xfId="213" xr:uid="{B3C288ED-1B01-48F1-BCED-F8779D04DD2A}"/>
    <cellStyle name="Buena 2" xfId="308" xr:uid="{3D090261-D66F-4FB9-B9F1-7ADCF3FF5630}"/>
    <cellStyle name="Càlcul" xfId="214" xr:uid="{6539A578-0DDE-4169-B5A1-8736BF6A22DA}"/>
    <cellStyle name="Càlcul 2" xfId="345" xr:uid="{2B9E7BA1-0F57-497E-9AE5-C29A2D64EBF1}"/>
    <cellStyle name="Cálculo 2" xfId="309" xr:uid="{9D2DA857-90BD-4784-B288-335C5E70717F}"/>
    <cellStyle name="Cálculo 2 2" xfId="348" xr:uid="{9D3F7872-AC1A-4219-B76D-FACA050FA054}"/>
    <cellStyle name="Cel·la de comprovació" xfId="215" xr:uid="{0E69E43A-25E1-4D91-8B65-594F4FD8CADA}"/>
    <cellStyle name="Cel·la enllaçada" xfId="216" xr:uid="{65F70AEA-D71A-46C2-8462-C769128E0EB9}"/>
    <cellStyle name="Celda de comprobación 2" xfId="310" xr:uid="{6B821160-7FE6-431F-ACC7-C83BF5756B75}"/>
    <cellStyle name="Celda vinculada 2" xfId="311" xr:uid="{6C6175E3-7950-4264-BA48-E80EC2026CDE}"/>
    <cellStyle name="Comma" xfId="187" builtinId="3"/>
    <cellStyle name="Comma 2" xfId="353" xr:uid="{E5B0923A-9BC6-484A-A0B7-898EE3ED8FE2}"/>
    <cellStyle name="Comma 2 2" xfId="20" xr:uid="{00000000-0005-0000-0000-000014000000}"/>
    <cellStyle name="Comma0" xfId="21" xr:uid="{00000000-0005-0000-0000-000015000000}"/>
    <cellStyle name="Date" xfId="22" xr:uid="{00000000-0005-0000-0000-000016000000}"/>
    <cellStyle name="Dezimal [0]_1999" xfId="23" xr:uid="{00000000-0005-0000-0000-000017000000}"/>
    <cellStyle name="Dezimal_0111hufag" xfId="24" xr:uid="{00000000-0005-0000-0000-000018000000}"/>
    <cellStyle name="Encabezado 4 2" xfId="312" xr:uid="{AEA28409-DE54-406B-98CE-9CAC56459784}"/>
    <cellStyle name="Énfasis1 2" xfId="313" xr:uid="{DFA7B4E7-B49E-4275-BB0C-D0EF00E12384}"/>
    <cellStyle name="Énfasis2 2" xfId="314" xr:uid="{83ECC219-94FF-4020-BC6E-01581ADC3E26}"/>
    <cellStyle name="Énfasis3 2" xfId="315" xr:uid="{2AF4822D-1D05-4A13-901F-41AD6AC2F23A}"/>
    <cellStyle name="Énfasis4 2" xfId="316" xr:uid="{F90D823C-F454-41A1-9BC4-557F1B93DACA}"/>
    <cellStyle name="Énfasis5 2" xfId="317" xr:uid="{874FC357-7C40-4606-86CF-8C1DFAD0715E}"/>
    <cellStyle name="Énfasis6 2" xfId="318" xr:uid="{70635C51-702E-4221-BAA3-468DB158CA5E}"/>
    <cellStyle name="Entrada 2" xfId="319" xr:uid="{7019CA07-6DE4-4945-9AD7-0C57EC735A33}"/>
    <cellStyle name="Entrada 2 2" xfId="349" xr:uid="{C0DA7B64-1C3D-4C32-B9A5-176D853A7B3E}"/>
    <cellStyle name="Euro" xfId="25" xr:uid="{00000000-0005-0000-0000-000019000000}"/>
    <cellStyle name="Euro 2" xfId="217" xr:uid="{62DAED2B-285F-4AF3-BC7A-7CD507E5FE86}"/>
    <cellStyle name="F2" xfId="26" xr:uid="{00000000-0005-0000-0000-00001A000000}"/>
    <cellStyle name="F3" xfId="27" xr:uid="{00000000-0005-0000-0000-00001B000000}"/>
    <cellStyle name="F4" xfId="28" xr:uid="{00000000-0005-0000-0000-00001C000000}"/>
    <cellStyle name="F5" xfId="29" xr:uid="{00000000-0005-0000-0000-00001D000000}"/>
    <cellStyle name="F6" xfId="30" xr:uid="{00000000-0005-0000-0000-00001E000000}"/>
    <cellStyle name="F7" xfId="31" xr:uid="{00000000-0005-0000-0000-00001F000000}"/>
    <cellStyle name="F8" xfId="32" xr:uid="{00000000-0005-0000-0000-000020000000}"/>
    <cellStyle name="Fixed" xfId="33" xr:uid="{00000000-0005-0000-0000-000021000000}"/>
    <cellStyle name="Followed Hyperlink" xfId="34" builtinId="9"/>
    <cellStyle name="Gen_Black" xfId="35" xr:uid="{00000000-0005-0000-0000-000023000000}"/>
    <cellStyle name="gs]_x000d__x000a_Window=0,0,640,480, , ,3_x000d__x000a_dir1=5,7,637,250,-1,-1,1,30,201,1905,231,G:\UGRC\RB\B-DADOS\FOX-PRO\CRED-VEN\KP" xfId="36" xr:uid="{00000000-0005-0000-0000-000024000000}"/>
    <cellStyle name="Heading1" xfId="37" xr:uid="{00000000-0005-0000-0000-000025000000}"/>
    <cellStyle name="Heading2" xfId="38" xr:uid="{00000000-0005-0000-0000-000026000000}"/>
    <cellStyle name="Hyperlink" xfId="39" builtinId="8"/>
    <cellStyle name="Hyperlink 2" xfId="289" xr:uid="{7343E25B-3D34-4701-97C1-9EC6E866D027}"/>
    <cellStyle name="Incorrecte" xfId="218" xr:uid="{3A47BEDA-C9FC-45E8-BA9D-F0B38BBEADF9}"/>
    <cellStyle name="Incorrecto 2" xfId="320" xr:uid="{8714F20D-B91F-459D-8645-427F7A6D2D66}"/>
    <cellStyle name="Millares 2" xfId="219" xr:uid="{47CFFB67-16E1-4A53-A505-1D4AF9D0A8FE}"/>
    <cellStyle name="Millares 3" xfId="220" xr:uid="{9292156B-4DEA-4A06-9D03-D216A96C415F}"/>
    <cellStyle name="Milliers [0]_3A_NumeratorReport_Option1_040611" xfId="40" xr:uid="{00000000-0005-0000-0000-000028000000}"/>
    <cellStyle name="Milliers_3A_NumeratorReport_Option1_040611" xfId="41" xr:uid="{00000000-0005-0000-0000-000029000000}"/>
    <cellStyle name="Moeda [0]_1.1  ANEXO 1" xfId="42" xr:uid="{00000000-0005-0000-0000-00002A000000}"/>
    <cellStyle name="Moeda_1.1  ANEXO 1" xfId="43" xr:uid="{00000000-0005-0000-0000-00002B000000}"/>
    <cellStyle name="Monétaire [0]_3A_NumeratorReport_Option1_040611" xfId="44" xr:uid="{00000000-0005-0000-0000-00002C000000}"/>
    <cellStyle name="Monétaire_3A_NumeratorReport_Option1_040611" xfId="45" xr:uid="{00000000-0005-0000-0000-00002D000000}"/>
    <cellStyle name="Neutral 2" xfId="321" xr:uid="{70394ADD-8ED4-40F9-873E-3D09AA86B259}"/>
    <cellStyle name="No-definido" xfId="221" xr:uid="{A81D0B5A-CF85-4539-A85A-4FF72B8B944D}"/>
    <cellStyle name="Normal" xfId="0" builtinId="0"/>
    <cellStyle name="Normal 10" xfId="46" xr:uid="{00000000-0005-0000-0000-00002F000000}"/>
    <cellStyle name="Normal 10 2" xfId="222" xr:uid="{67784CB4-FD19-4B6B-8FC6-3C36BCA2B0F4}"/>
    <cellStyle name="Normal 11" xfId="47" xr:uid="{00000000-0005-0000-0000-000030000000}"/>
    <cellStyle name="Normal 11 2" xfId="223" xr:uid="{4E604F71-55A4-47CE-A7F7-788BA7FB26D0}"/>
    <cellStyle name="Normal 12" xfId="48" xr:uid="{00000000-0005-0000-0000-000031000000}"/>
    <cellStyle name="Normal 12 2" xfId="224" xr:uid="{2DFE48E0-DFFA-48E8-87AA-9024976CB9F5}"/>
    <cellStyle name="Normal 13" xfId="49" xr:uid="{00000000-0005-0000-0000-000032000000}"/>
    <cellStyle name="Normal 13 2" xfId="225" xr:uid="{9F66D035-9CD5-4D8A-824F-689DB69CBDC2}"/>
    <cellStyle name="Normal 14" xfId="50" xr:uid="{00000000-0005-0000-0000-000033000000}"/>
    <cellStyle name="Normal 14 2" xfId="226" xr:uid="{0CEC90A7-F46D-46C8-B2A8-CF7E00F86FBB}"/>
    <cellStyle name="Normal 15" xfId="51" xr:uid="{00000000-0005-0000-0000-000034000000}"/>
    <cellStyle name="Normal 15 2" xfId="227" xr:uid="{FA11DBAF-B035-40C0-A4B1-E1063066884D}"/>
    <cellStyle name="Normal 16" xfId="178" xr:uid="{00000000-0005-0000-0000-000035000000}"/>
    <cellStyle name="Normal 16 2" xfId="229" xr:uid="{B180965C-F8EA-480B-A216-4A85B41C38FB}"/>
    <cellStyle name="Normal 16 3" xfId="228" xr:uid="{0C9BD021-D2CF-411B-867A-B909C37AA516}"/>
    <cellStyle name="Normal 17" xfId="186" xr:uid="{00000000-0005-0000-0000-000036000000}"/>
    <cellStyle name="Normal 17 2" xfId="231" xr:uid="{DFE46B97-0DC7-46D8-B346-1CB8AD6D023E}"/>
    <cellStyle name="Normal 17 3" xfId="230" xr:uid="{A3D88E99-6EFC-44AD-9A3A-07CE04A17B04}"/>
    <cellStyle name="Normal 18" xfId="232" xr:uid="{0B937D13-03CC-4726-B5E0-87EDB6A19DF9}"/>
    <cellStyle name="Normal 18 2" xfId="233" xr:uid="{7D8D438F-27A3-423D-98E2-414FCB7911B6}"/>
    <cellStyle name="Normal 18 2 2" xfId="341" xr:uid="{AECADB38-4B2F-432A-863F-0DBDD9F0257C}"/>
    <cellStyle name="Normal 18 3" xfId="331" xr:uid="{A4386136-6C92-4CFE-A6FB-392FCC51FB0C}"/>
    <cellStyle name="Normal 18 4" xfId="288" xr:uid="{73D776C4-570D-420B-9854-6B0B0C929496}"/>
    <cellStyle name="Normal 19" xfId="234" xr:uid="{2F4B468B-FFE0-4AAB-AE63-134D45E11248}"/>
    <cellStyle name="Normal 2" xfId="52" xr:uid="{00000000-0005-0000-0000-000037000000}"/>
    <cellStyle name="Normal 2 2" xfId="53" xr:uid="{00000000-0005-0000-0000-000038000000}"/>
    <cellStyle name="Normal 2 2 2" xfId="237" xr:uid="{21597640-5E74-4E50-85F7-8355BBBC64FD}"/>
    <cellStyle name="Normal 2 2 3" xfId="238" xr:uid="{01E17C71-1906-476D-895F-429145D1A594}"/>
    <cellStyle name="Normal 2 2 4" xfId="236" xr:uid="{25FFEC01-527A-4735-886A-85BA1D2A0276}"/>
    <cellStyle name="Normal 2 3" xfId="54" xr:uid="{00000000-0005-0000-0000-000039000000}"/>
    <cellStyle name="Normal 2 3 2" xfId="239" xr:uid="{491D5DB6-A55E-4165-B4C2-D5D9A7EFAF05}"/>
    <cellStyle name="Normal 2 4" xfId="240" xr:uid="{EBC203A1-FB75-4691-8A01-ECCA1889A744}"/>
    <cellStyle name="Normal 2 5" xfId="241" xr:uid="{8E4B92AF-1985-415C-888B-C72CDDD8FF91}"/>
    <cellStyle name="Normal 2 6" xfId="235" xr:uid="{CE1C2706-345B-4A3E-8821-A9E04AE08B29}"/>
    <cellStyle name="Normal 2_PBG_BUSINESS_PLAN_'11-'14-BASEfinal" xfId="55" xr:uid="{00000000-0005-0000-0000-00003A000000}"/>
    <cellStyle name="Normal 20" xfId="182" xr:uid="{00000000-0005-0000-0000-00003B000000}"/>
    <cellStyle name="Normal 20 2" xfId="242" xr:uid="{FFA94CA5-9A6B-44D6-A316-DB09D9B63B33}"/>
    <cellStyle name="Normal 20 3" xfId="333" xr:uid="{23F09574-2B0C-499D-B0EC-D7258E1891BA}"/>
    <cellStyle name="Normal 20 9" xfId="344" xr:uid="{AF9360E7-D1B9-4F39-8470-BC9BC4186BE5}"/>
    <cellStyle name="Normal 21" xfId="188" xr:uid="{DE5D6731-9A26-41B6-949C-91947627DD1A}"/>
    <cellStyle name="Normal 23" xfId="332" xr:uid="{6D796653-EEF4-4793-9AFA-CBCF326B2CAC}"/>
    <cellStyle name="Normal 26" xfId="243" xr:uid="{D787AC51-D735-4E0C-81F6-55D73BCE0D97}"/>
    <cellStyle name="Normal 3" xfId="56" xr:uid="{00000000-0005-0000-0000-00003C000000}"/>
    <cellStyle name="Normal 3 10" xfId="244" xr:uid="{0A7A840E-3C04-4095-B848-A846D28B65A5}"/>
    <cellStyle name="Normal 3 2" xfId="180" xr:uid="{00000000-0005-0000-0000-00003D000000}"/>
    <cellStyle name="Normal 3 2 2" xfId="245" xr:uid="{8E5911C6-9CBB-4AB2-9FAC-18C32D2EBFC6}"/>
    <cellStyle name="Normal 3 3" xfId="246" xr:uid="{347911A7-4911-449D-B529-71D060171837}"/>
    <cellStyle name="Normal 3 4" xfId="247" xr:uid="{08B128DF-6512-40F8-BC84-9F3C0B3B51C5}"/>
    <cellStyle name="Normal 3 5" xfId="248" xr:uid="{7E8CEEAF-C3DA-472F-AF3B-B2821E67B62B}"/>
    <cellStyle name="Normal 3 6" xfId="249" xr:uid="{CD214EB3-0C74-4E89-AE6B-3EDE5AE3FF9F}"/>
    <cellStyle name="Normal 3 7" xfId="250" xr:uid="{FDCEB656-A0F1-47A6-BD54-7A4423A887CE}"/>
    <cellStyle name="Normal 3 8" xfId="251" xr:uid="{52D0304D-C749-4AAB-A1FC-EA05A6FAB34F}"/>
    <cellStyle name="Normal 3 8 2" xfId="287" xr:uid="{5330D73B-69DE-4951-B687-54B8061E8753}"/>
    <cellStyle name="Normal 3 9" xfId="252" xr:uid="{77CA5D6A-FE78-422B-8C5C-6922D110BECE}"/>
    <cellStyle name="Normal 4" xfId="57" xr:uid="{00000000-0005-0000-0000-00003E000000}"/>
    <cellStyle name="Normal 4 2" xfId="254" xr:uid="{2254B5C6-E5A4-45B2-AE51-4E91315BE54C}"/>
    <cellStyle name="Normal 4 3" xfId="253" xr:uid="{09AE8575-6958-4AF6-8F05-4EEAB7B7C672}"/>
    <cellStyle name="Normal 5" xfId="58" xr:uid="{00000000-0005-0000-0000-00003F000000}"/>
    <cellStyle name="Normal 5 2" xfId="59" xr:uid="{00000000-0005-0000-0000-000040000000}"/>
    <cellStyle name="Normal 5 2 2" xfId="338" xr:uid="{16CB18B2-2A1B-4117-95CD-57412B319E16}"/>
    <cellStyle name="Normal 5 3" xfId="60" xr:uid="{00000000-0005-0000-0000-000041000000}"/>
    <cellStyle name="Normal 5 3 2" xfId="339" xr:uid="{787E39AB-5344-4248-8FAA-DF1C5082F38C}"/>
    <cellStyle name="Normal 5 4" xfId="61" xr:uid="{00000000-0005-0000-0000-000042000000}"/>
    <cellStyle name="Normal 5 5" xfId="255" xr:uid="{2378182A-66F5-4B77-A99C-A7B0F2061721}"/>
    <cellStyle name="Normal 5_PBB_BP_2008_2010_20071115_Final" xfId="62" xr:uid="{00000000-0005-0000-0000-000043000000}"/>
    <cellStyle name="Normal 6" xfId="63" xr:uid="{00000000-0005-0000-0000-000044000000}"/>
    <cellStyle name="Normal 6 2" xfId="257" xr:uid="{BB4AD302-A4D3-4FCE-BA9E-5A021314B94A}"/>
    <cellStyle name="Normal 6 3" xfId="256" xr:uid="{1FE63987-A918-479A-BBB6-B5B1F878C2CC}"/>
    <cellStyle name="Normal 7" xfId="64" xr:uid="{00000000-0005-0000-0000-000045000000}"/>
    <cellStyle name="Normal 7 10" xfId="335" xr:uid="{0FA2CF92-9831-40AD-AE3E-DD5F14FF4F7A}"/>
    <cellStyle name="Normal 7 2" xfId="258" xr:uid="{F9347079-DD98-4901-A34E-1DFE6119AB50}"/>
    <cellStyle name="Normal 8" xfId="65" xr:uid="{00000000-0005-0000-0000-000046000000}"/>
    <cellStyle name="Normal 8 2" xfId="259" xr:uid="{57032396-912B-4089-8B0B-1184847E6477}"/>
    <cellStyle name="Normal 9" xfId="66" xr:uid="{00000000-0005-0000-0000-000047000000}"/>
    <cellStyle name="Normal 9 2" xfId="260" xr:uid="{4DE18167-E20E-432B-9D7E-5495AE659032}"/>
    <cellStyle name="Normal 9 3" xfId="261" xr:uid="{47DB3A79-58AB-4DE8-8970-BA4881471CC5}"/>
    <cellStyle name="Normal_BS analysis" xfId="67" xr:uid="{00000000-0005-0000-0000-000048000000}"/>
    <cellStyle name="Normal_Copy of Divisional_Database_4Q09_website" xfId="68" xr:uid="{00000000-0005-0000-0000-000049000000}"/>
    <cellStyle name="Normal_Copy of Divisional_Database_4Q09_website 2" xfId="184" xr:uid="{00000000-0005-0000-0000-00004A000000}"/>
    <cellStyle name="Nota" xfId="262" xr:uid="{527D973E-83C5-4A0C-9139-5D53357A1343}"/>
    <cellStyle name="Nota 2" xfId="346" xr:uid="{57A455D0-C650-4130-80E0-EA52A8DC579E}"/>
    <cellStyle name="Notas 2" xfId="322" xr:uid="{DF6CD02E-05A9-499E-90D4-28590E3D409A}"/>
    <cellStyle name="Notas 2 2" xfId="350" xr:uid="{94786DE0-A24C-4B25-8027-D832A367C3A4}"/>
    <cellStyle name="OPXArea" xfId="69" xr:uid="{00000000-0005-0000-0000-00004B000000}"/>
    <cellStyle name="OPXButtonBar" xfId="70" xr:uid="{00000000-0005-0000-0000-00004C000000}"/>
    <cellStyle name="OPXHeadingArea" xfId="71" xr:uid="{00000000-0005-0000-0000-00004D000000}"/>
    <cellStyle name="OPXHeadingRange" xfId="72" xr:uid="{00000000-0005-0000-0000-00004E000000}"/>
    <cellStyle name="OPXHeadingWorkbook" xfId="73" xr:uid="{00000000-0005-0000-0000-00004F000000}"/>
    <cellStyle name="OPXInDate" xfId="74" xr:uid="{00000000-0005-0000-0000-000050000000}"/>
    <cellStyle name="OPXInFmat1" xfId="75" xr:uid="{00000000-0005-0000-0000-000051000000}"/>
    <cellStyle name="OPXInFmat10" xfId="76" xr:uid="{00000000-0005-0000-0000-000052000000}"/>
    <cellStyle name="OPXInFmat11" xfId="77" xr:uid="{00000000-0005-0000-0000-000053000000}"/>
    <cellStyle name="OPXInFmat2" xfId="78" xr:uid="{00000000-0005-0000-0000-000054000000}"/>
    <cellStyle name="OPXInFmat23" xfId="79" xr:uid="{00000000-0005-0000-0000-000055000000}"/>
    <cellStyle name="OPXInFmat25" xfId="80" xr:uid="{00000000-0005-0000-0000-000056000000}"/>
    <cellStyle name="OPXInFmat26" xfId="81" xr:uid="{00000000-0005-0000-0000-000057000000}"/>
    <cellStyle name="OPXInFmat27" xfId="82" xr:uid="{00000000-0005-0000-0000-000058000000}"/>
    <cellStyle name="OPXInFmat5" xfId="83" xr:uid="{00000000-0005-0000-0000-000059000000}"/>
    <cellStyle name="OPXInFmat6" xfId="84" xr:uid="{00000000-0005-0000-0000-00005A000000}"/>
    <cellStyle name="OPXInFmat7" xfId="85" xr:uid="{00000000-0005-0000-0000-00005B000000}"/>
    <cellStyle name="OPXInFmat8" xfId="86" xr:uid="{00000000-0005-0000-0000-00005C000000}"/>
    <cellStyle name="OPXInFmat9" xfId="87" xr:uid="{00000000-0005-0000-0000-00005D000000}"/>
    <cellStyle name="OPXInFmatRate61" xfId="88" xr:uid="{00000000-0005-0000-0000-00005E000000}"/>
    <cellStyle name="OPXInFmatRate62" xfId="89" xr:uid="{00000000-0005-0000-0000-00005F000000}"/>
    <cellStyle name="OPXInFmatRate63" xfId="90" xr:uid="{00000000-0005-0000-0000-000060000000}"/>
    <cellStyle name="OPXInFmatRate64" xfId="91" xr:uid="{00000000-0005-0000-0000-000061000000}"/>
    <cellStyle name="OPXInFmatRate65" xfId="92" xr:uid="{00000000-0005-0000-0000-000062000000}"/>
    <cellStyle name="OPXInFmatRate66" xfId="93" xr:uid="{00000000-0005-0000-0000-000063000000}"/>
    <cellStyle name="OPXInFmatRate67" xfId="94" xr:uid="{00000000-0005-0000-0000-000064000000}"/>
    <cellStyle name="OPXInFmatRate68" xfId="95" xr:uid="{00000000-0005-0000-0000-000065000000}"/>
    <cellStyle name="OPXInText" xfId="96" xr:uid="{00000000-0005-0000-0000-000066000000}"/>
    <cellStyle name="OPXInTextWrap" xfId="97" xr:uid="{00000000-0005-0000-0000-000067000000}"/>
    <cellStyle name="OPXInTime" xfId="98" xr:uid="{00000000-0005-0000-0000-000068000000}"/>
    <cellStyle name="OPXLiteralCenter" xfId="99" xr:uid="{00000000-0005-0000-0000-000069000000}"/>
    <cellStyle name="OPXLiteralCenterWrap" xfId="100" xr:uid="{00000000-0005-0000-0000-00006A000000}"/>
    <cellStyle name="OPXLiteralDateLeft" xfId="101" xr:uid="{00000000-0005-0000-0000-00006B000000}"/>
    <cellStyle name="OPXLiteralLeft" xfId="102" xr:uid="{00000000-0005-0000-0000-00006C000000}"/>
    <cellStyle name="OPXLiteralLeftWrap" xfId="103" xr:uid="{00000000-0005-0000-0000-00006D000000}"/>
    <cellStyle name="OPXLiteralRight" xfId="104" xr:uid="{00000000-0005-0000-0000-00006E000000}"/>
    <cellStyle name="OPXLiteralRightWrap" xfId="105" xr:uid="{00000000-0005-0000-0000-00006F000000}"/>
    <cellStyle name="OPXOutDate" xfId="106" xr:uid="{00000000-0005-0000-0000-000070000000}"/>
    <cellStyle name="OPXOutFmat1" xfId="107" xr:uid="{00000000-0005-0000-0000-000071000000}"/>
    <cellStyle name="OPXOutFmat10" xfId="108" xr:uid="{00000000-0005-0000-0000-000072000000}"/>
    <cellStyle name="OPXOutFmat11" xfId="109" xr:uid="{00000000-0005-0000-0000-000073000000}"/>
    <cellStyle name="OPXOutFmat2" xfId="110" xr:uid="{00000000-0005-0000-0000-000074000000}"/>
    <cellStyle name="OPXOutFmat23" xfId="111" xr:uid="{00000000-0005-0000-0000-000075000000}"/>
    <cellStyle name="OPXOutFmat25" xfId="112" xr:uid="{00000000-0005-0000-0000-000076000000}"/>
    <cellStyle name="OPXOutFmat26" xfId="113" xr:uid="{00000000-0005-0000-0000-000077000000}"/>
    <cellStyle name="OPXOutFmat27" xfId="114" xr:uid="{00000000-0005-0000-0000-000078000000}"/>
    <cellStyle name="OPXOutFmat5" xfId="115" xr:uid="{00000000-0005-0000-0000-000079000000}"/>
    <cellStyle name="OPXOutFmat6" xfId="116" xr:uid="{00000000-0005-0000-0000-00007A000000}"/>
    <cellStyle name="OPXOutFmat7" xfId="117" xr:uid="{00000000-0005-0000-0000-00007B000000}"/>
    <cellStyle name="OPXOutFmat8" xfId="118" xr:uid="{00000000-0005-0000-0000-00007C000000}"/>
    <cellStyle name="OPXOutFmat9" xfId="119" xr:uid="{00000000-0005-0000-0000-00007D000000}"/>
    <cellStyle name="OPXOutFmatRate61" xfId="120" xr:uid="{00000000-0005-0000-0000-00007E000000}"/>
    <cellStyle name="OPXOutFmatRate62" xfId="121" xr:uid="{00000000-0005-0000-0000-00007F000000}"/>
    <cellStyle name="OPXOutFmatRate63" xfId="122" xr:uid="{00000000-0005-0000-0000-000080000000}"/>
    <cellStyle name="OPXOutFmatRate64" xfId="123" xr:uid="{00000000-0005-0000-0000-000081000000}"/>
    <cellStyle name="OPXOutFmatRate65" xfId="124" xr:uid="{00000000-0005-0000-0000-000082000000}"/>
    <cellStyle name="OPXOutFmatRate66" xfId="125" xr:uid="{00000000-0005-0000-0000-000083000000}"/>
    <cellStyle name="OPXOutFmatRate67" xfId="126" xr:uid="{00000000-0005-0000-0000-000084000000}"/>
    <cellStyle name="OPXOutFmatRate68" xfId="127" xr:uid="{00000000-0005-0000-0000-000085000000}"/>
    <cellStyle name="OPXOutText" xfId="128" xr:uid="{00000000-0005-0000-0000-000086000000}"/>
    <cellStyle name="OPXOutTextWrap" xfId="129" xr:uid="{00000000-0005-0000-0000-000087000000}"/>
    <cellStyle name="OPXOutTime" xfId="130" xr:uid="{00000000-0005-0000-0000-000088000000}"/>
    <cellStyle name="OPXProtected" xfId="131" xr:uid="{00000000-0005-0000-0000-000089000000}"/>
    <cellStyle name="Percent" xfId="132" builtinId="5"/>
    <cellStyle name="Percent 2" xfId="133" xr:uid="{00000000-0005-0000-0000-00008B000000}"/>
    <cellStyle name="Percent 2 2" xfId="185" xr:uid="{00000000-0005-0000-0000-00008C000000}"/>
    <cellStyle name="Percent 2 2 10" xfId="177" xr:uid="{00000000-0005-0000-0000-00008D000000}"/>
    <cellStyle name="Percent 2 3" xfId="342" xr:uid="{45AD7C1F-7264-4E49-950D-369B77657518}"/>
    <cellStyle name="Percent 3" xfId="179" xr:uid="{00000000-0005-0000-0000-00008E000000}"/>
    <cellStyle name="Percent 3 2" xfId="181" xr:uid="{00000000-0005-0000-0000-00008F000000}"/>
    <cellStyle name="Percent 3 3" xfId="343" xr:uid="{00A2F95C-3C71-4289-85EA-2BAEE431C169}"/>
    <cellStyle name="Percent 4" xfId="340" xr:uid="{76B19481-C0F0-4283-A22C-780F829B9C2D}"/>
    <cellStyle name="Percent 5" xfId="183" xr:uid="{00000000-0005-0000-0000-000090000000}"/>
    <cellStyle name="Percent 6" xfId="336" xr:uid="{96F85719-D913-4101-90D0-CF771C1741BB}"/>
    <cellStyle name="Percent 7" xfId="337" xr:uid="{832092AF-40B0-439D-BD0D-5EA229591604}"/>
    <cellStyle name="Porcentual 10" xfId="263" xr:uid="{A0C5675B-4DEF-4EB5-9CCE-E9089DEB4D8A}"/>
    <cellStyle name="Porcentual 11" xfId="264" xr:uid="{F86311E0-025C-4A3F-84B3-54A4F2D9618E}"/>
    <cellStyle name="Porcentual 18" xfId="265" xr:uid="{36191990-25CE-4088-84B3-4A3C7AC8B61B}"/>
    <cellStyle name="Porcentual 2" xfId="266" xr:uid="{8F5C8527-6819-4BD6-AF0C-2BF9DB2452DD}"/>
    <cellStyle name="Porcentual 2 2" xfId="267" xr:uid="{7209F397-EB7C-4CF2-ACBE-E815EBDEAE0D}"/>
    <cellStyle name="Porcentual 3" xfId="268" xr:uid="{5D9DEE43-1AFF-41A2-8DE3-5C4D0E0E87FC}"/>
    <cellStyle name="Porcentual 3 2" xfId="269" xr:uid="{82412CEE-A0BA-44D9-B6D6-30560D34677C}"/>
    <cellStyle name="Porcentual 30" xfId="270" xr:uid="{9F13DCE8-0D2B-4764-9F67-385416CE72EF}"/>
    <cellStyle name="Porcentual 32" xfId="271" xr:uid="{AC2EF77F-9B67-4310-81BC-8F7DA72A419E}"/>
    <cellStyle name="Porcentual 35" xfId="334" xr:uid="{CC60B778-69CD-4AAA-9D24-08D54B99319B}"/>
    <cellStyle name="Porcentual 4" xfId="272" xr:uid="{B3093905-A362-4C4B-A22B-5AD7F5DF3DFD}"/>
    <cellStyle name="Porcentual 5" xfId="273" xr:uid="{C5D41EF2-119A-4B95-BCFC-D3AF0322EDEF}"/>
    <cellStyle name="Porcentual 6" xfId="274" xr:uid="{05F09382-6192-41BE-B1FD-4A235BE2B224}"/>
    <cellStyle name="Porcentual 7" xfId="275" xr:uid="{26AC3F14-FBF6-4213-ADCE-745C14957D46}"/>
    <cellStyle name="Porcentual 8" xfId="276" xr:uid="{4465F50C-E37C-472E-897D-99C4EA2CEB78}"/>
    <cellStyle name="Porcentual 9" xfId="277" xr:uid="{1B478660-9CBC-474D-B315-41D9EE24B26B}"/>
    <cellStyle name="Porcentual 9 2" xfId="278" xr:uid="{3F645154-8EFC-4A29-9F46-EBF28F90A972}"/>
    <cellStyle name="Resultat" xfId="279" xr:uid="{8DBBFD3F-C52D-4298-A038-B27588CCF286}"/>
    <cellStyle name="Resultat 2" xfId="347" xr:uid="{D8AFDD8E-9295-4BF5-8B44-0DA7D0DBD9CB}"/>
    <cellStyle name="Salida 2" xfId="323" xr:uid="{EAF84BCB-77AD-4543-918E-A0F2D81B4D4E}"/>
    <cellStyle name="Salida 2 2" xfId="351" xr:uid="{C843DAF2-EECC-4705-954F-176847A2F099}"/>
    <cellStyle name="Separador de milhares [0]_1.1  ANEXO 1" xfId="134" xr:uid="{00000000-0005-0000-0000-000091000000}"/>
    <cellStyle name="Separador de milhares_1.1  ANEXO 1" xfId="135" xr:uid="{00000000-0005-0000-0000-000092000000}"/>
    <cellStyle name="Standard_#CEE 2001" xfId="136" xr:uid="{00000000-0005-0000-0000-000093000000}"/>
    <cellStyle name="Style 1" xfId="137" xr:uid="{00000000-0005-0000-0000-000094000000}"/>
    <cellStyle name="Text d'advertiment" xfId="280" xr:uid="{B18E7313-5E17-40BF-89DF-05E90B3B07BF}"/>
    <cellStyle name="Text explicatiu" xfId="281" xr:uid="{0DB40476-3F1F-44DA-B17B-7403C0743B10}"/>
    <cellStyle name="Texto de advertencia 2" xfId="324" xr:uid="{5465BE85-A842-4CCB-9191-5F820645F4E0}"/>
    <cellStyle name="Texto explicativo 2" xfId="325" xr:uid="{A749A5C2-9EB9-4847-8CB3-9B4386DCDE4C}"/>
    <cellStyle name="TitleCols_Gen_pC" xfId="138" xr:uid="{00000000-0005-0000-0000-000095000000}"/>
    <cellStyle name="TitleLines_Gen" xfId="139" xr:uid="{00000000-0005-0000-0000-000096000000}"/>
    <cellStyle name="Títol" xfId="282" xr:uid="{BD5D66A5-4AC1-4336-9FF3-40EF383859B2}"/>
    <cellStyle name="Títol 1" xfId="283" xr:uid="{32636E57-70DE-4B96-BCB4-E40A77CA14F5}"/>
    <cellStyle name="Títol 2" xfId="284" xr:uid="{5839A80D-8523-4493-86D2-E46CD65E7EC2}"/>
    <cellStyle name="Títol 3" xfId="285" xr:uid="{8AD44CFB-8B0E-457F-8B61-7088F7DE962E}"/>
    <cellStyle name="Títol 4" xfId="286" xr:uid="{E1A0A5AB-7EDE-4F07-B621-2E0FDD34C1AA}"/>
    <cellStyle name="Título 1 2" xfId="326" xr:uid="{DDA9FEC6-D1C3-45B2-9B54-44E7AB509AEF}"/>
    <cellStyle name="Título 2 2" xfId="327" xr:uid="{22BFDE36-23E9-4445-BBA8-4E55FA436C6F}"/>
    <cellStyle name="Título 3 2" xfId="328" xr:uid="{3D85C531-9024-4D71-A921-3038D14C0E27}"/>
    <cellStyle name="Título 4" xfId="329" xr:uid="{31383B3C-AB68-4467-B274-B7410C722B08}"/>
    <cellStyle name="Total 2" xfId="330" xr:uid="{C2D257E6-4824-4066-9F23-119BE1A821DD}"/>
    <cellStyle name="Total 2 2" xfId="352" xr:uid="{AF29083B-26FB-4D7F-8489-6933CFC35BAE}"/>
    <cellStyle name="Undefiniert" xfId="140" xr:uid="{00000000-0005-0000-0000-000097000000}"/>
    <cellStyle name="Virgulă_BVC 2001-propuneri" xfId="141" xr:uid="{00000000-0005-0000-0000-000098000000}"/>
    <cellStyle name="Währung [0]_1999" xfId="142" xr:uid="{00000000-0005-0000-0000-000099000000}"/>
    <cellStyle name="Währung_1999" xfId="143" xr:uid="{00000000-0005-0000-0000-00009A000000}"/>
    <cellStyle name="Βασικό_12.6.96" xfId="144" xr:uid="{00000000-0005-0000-0000-00009B000000}"/>
    <cellStyle name="Διαχωριστικό χιλιάδων/υποδιαστολή [0]_PIR9906isol_final" xfId="145" xr:uid="{00000000-0005-0000-0000-00009C000000}"/>
    <cellStyle name="Διαχωριστικό χιλιάδων/υποδιαστολή_Bond reconciliation SAP_TVS_MO 06 2007" xfId="146" xr:uid="{00000000-0005-0000-0000-00009D000000}"/>
    <cellStyle name="Εισαγωγή" xfId="147" xr:uid="{00000000-0005-0000-0000-00009E000000}"/>
    <cellStyle name="Έλεγχος κελιού" xfId="148" xr:uid="{00000000-0005-0000-0000-00009F000000}"/>
    <cellStyle name="Έμφαση1" xfId="149" xr:uid="{00000000-0005-0000-0000-0000A0000000}"/>
    <cellStyle name="Έμφαση2" xfId="150" xr:uid="{00000000-0005-0000-0000-0000A1000000}"/>
    <cellStyle name="Έμφαση3" xfId="151" xr:uid="{00000000-0005-0000-0000-0000A2000000}"/>
    <cellStyle name="Έμφαση4" xfId="152" xr:uid="{00000000-0005-0000-0000-0000A3000000}"/>
    <cellStyle name="Έμφαση5" xfId="153" xr:uid="{00000000-0005-0000-0000-0000A4000000}"/>
    <cellStyle name="Έμφαση6" xfId="154" xr:uid="{00000000-0005-0000-0000-0000A5000000}"/>
    <cellStyle name="Έξοδος" xfId="155" xr:uid="{00000000-0005-0000-0000-0000A6000000}"/>
    <cellStyle name="Επεξηγηματικό κείμενο" xfId="156" xr:uid="{00000000-0005-0000-0000-0000A7000000}"/>
    <cellStyle name="Επικεφαλίδα 1" xfId="157" xr:uid="{00000000-0005-0000-0000-0000A8000000}"/>
    <cellStyle name="Επικεφαλίδα 2" xfId="158" xr:uid="{00000000-0005-0000-0000-0000A9000000}"/>
    <cellStyle name="Επικεφαλίδα 3" xfId="159" xr:uid="{00000000-0005-0000-0000-0000AA000000}"/>
    <cellStyle name="Επικεφαλίδα 4" xfId="160" xr:uid="{00000000-0005-0000-0000-0000AB000000}"/>
    <cellStyle name="Κακό" xfId="161" xr:uid="{00000000-0005-0000-0000-0000AC000000}"/>
    <cellStyle name="Καλό" xfId="162" xr:uid="{00000000-0005-0000-0000-0000AD000000}"/>
    <cellStyle name="Κανονικό 2" xfId="163" xr:uid="{00000000-0005-0000-0000-0000AE000000}"/>
    <cellStyle name="Κανονικό 3" xfId="164" xr:uid="{00000000-0005-0000-0000-0000AF000000}"/>
    <cellStyle name="Κανονικό 4" xfId="165" xr:uid="{00000000-0005-0000-0000-0000B0000000}"/>
    <cellStyle name="Κόμμα 2" xfId="166" xr:uid="{00000000-0005-0000-0000-0000B1000000}"/>
    <cellStyle name="Κόμμα 3" xfId="167" xr:uid="{00000000-0005-0000-0000-0000B2000000}"/>
    <cellStyle name="Νομισματικό [0]_PIR9906isol_final" xfId="168" xr:uid="{00000000-0005-0000-0000-0000B3000000}"/>
    <cellStyle name="Νομισματικό_PIR9906isol_final" xfId="169" xr:uid="{00000000-0005-0000-0000-0000B4000000}"/>
    <cellStyle name="Ουδέτερο" xfId="170" xr:uid="{00000000-0005-0000-0000-0000B5000000}"/>
    <cellStyle name="Προειδοποιητικό κείμενο" xfId="171" xr:uid="{00000000-0005-0000-0000-0000B6000000}"/>
    <cellStyle name="Σημείωση" xfId="172" xr:uid="{00000000-0005-0000-0000-0000B7000000}"/>
    <cellStyle name="Συνδεδεμένο κελί" xfId="173" xr:uid="{00000000-0005-0000-0000-0000B8000000}"/>
    <cellStyle name="Σύνολο" xfId="174" xr:uid="{00000000-0005-0000-0000-0000B9000000}"/>
    <cellStyle name="Τίτλος" xfId="175" xr:uid="{00000000-0005-0000-0000-0000BA000000}"/>
    <cellStyle name="Υπολογισμός" xfId="176" xr:uid="{00000000-0005-0000-0000-0000BB000000}"/>
  </cellStyles>
  <dxfs count="0"/>
  <tableStyles count="0" defaultTableStyle="TableStyleMedium9" defaultPivotStyle="PivotStyleLight16"/>
  <colors>
    <mruColors>
      <color rgb="FF002F30"/>
      <color rgb="FFFFF5BF"/>
      <color rgb="FF296ED4"/>
      <color rgb="FFCAC3AF"/>
      <color rgb="FFE4E1D7"/>
      <color rgb="FFAF8043"/>
      <color rgb="FF809797"/>
      <color rgb="FF836031"/>
      <color rgb="FFAD804C"/>
      <color rgb="FF946D3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6.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7.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8.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9.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0.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1.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2.jpeg"/></Relationships>
</file>

<file path=xl/drawings/_rels/drawing7.xml.rels><?xml version="1.0" encoding="UTF-8" standalone="yes"?>
<Relationships xmlns="http://schemas.openxmlformats.org/package/2006/relationships"><Relationship Id="rId1" Type="http://schemas.openxmlformats.org/officeDocument/2006/relationships/image" Target="../media/image3.jpeg"/></Relationships>
</file>

<file path=xl/drawings/_rels/drawing8.xml.rels><?xml version="1.0" encoding="UTF-8" standalone="yes"?>
<Relationships xmlns="http://schemas.openxmlformats.org/package/2006/relationships"><Relationship Id="rId1" Type="http://schemas.openxmlformats.org/officeDocument/2006/relationships/image" Target="../media/image2.jpeg"/></Relationships>
</file>

<file path=xl/drawings/_rels/drawing9.xml.rels><?xml version="1.0" encoding="UTF-8" standalone="yes"?>
<Relationships xmlns="http://schemas.openxmlformats.org/package/2006/relationships"><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2</xdr:col>
      <xdr:colOff>152400</xdr:colOff>
      <xdr:row>4</xdr:row>
      <xdr:rowOff>85725</xdr:rowOff>
    </xdr:from>
    <xdr:to>
      <xdr:col>2</xdr:col>
      <xdr:colOff>1508760</xdr:colOff>
      <xdr:row>5</xdr:row>
      <xdr:rowOff>123825</xdr:rowOff>
    </xdr:to>
    <xdr:pic>
      <xdr:nvPicPr>
        <xdr:cNvPr id="2" name="Picture 1" descr="A close up of a logo&#10;&#10;AI-generated content may be incorrect.">
          <a:extLst>
            <a:ext uri="{FF2B5EF4-FFF2-40B4-BE49-F238E27FC236}">
              <a16:creationId xmlns:a16="http://schemas.microsoft.com/office/drawing/2014/main" id="{CAC54080-60D0-E359-B163-843EDBE2C01A}"/>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3017" r="9615" b="18592"/>
        <a:stretch/>
      </xdr:blipFill>
      <xdr:spPr bwMode="auto">
        <a:xfrm>
          <a:off x="723900" y="933450"/>
          <a:ext cx="1356360" cy="247650"/>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1356360</xdr:colOff>
      <xdr:row>2</xdr:row>
      <xdr:rowOff>45944</xdr:rowOff>
    </xdr:to>
    <xdr:pic>
      <xdr:nvPicPr>
        <xdr:cNvPr id="3" name="Picture 2" descr="A close up of a logo&#10;&#10;AI-generated content may be incorrect.">
          <a:extLst>
            <a:ext uri="{FF2B5EF4-FFF2-40B4-BE49-F238E27FC236}">
              <a16:creationId xmlns:a16="http://schemas.microsoft.com/office/drawing/2014/main" id="{EC5C1D5C-B13B-40AA-9335-3B10498C89C8}"/>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3017" r="9615" b="18592"/>
        <a:stretch/>
      </xdr:blipFill>
      <xdr:spPr bwMode="auto">
        <a:xfrm>
          <a:off x="156882" y="201706"/>
          <a:ext cx="1356360" cy="247650"/>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1356360</xdr:colOff>
      <xdr:row>2</xdr:row>
      <xdr:rowOff>45944</xdr:rowOff>
    </xdr:to>
    <xdr:pic>
      <xdr:nvPicPr>
        <xdr:cNvPr id="3" name="Picture 2" descr="A close up of a logo&#10;&#10;AI-generated content may be incorrect.">
          <a:extLst>
            <a:ext uri="{FF2B5EF4-FFF2-40B4-BE49-F238E27FC236}">
              <a16:creationId xmlns:a16="http://schemas.microsoft.com/office/drawing/2014/main" id="{CB1C91DB-F8A9-45C4-8AE6-8D6BDFAFFAAE}"/>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3017" r="9615" b="18592"/>
        <a:stretch/>
      </xdr:blipFill>
      <xdr:spPr bwMode="auto">
        <a:xfrm>
          <a:off x="156882" y="201706"/>
          <a:ext cx="1356360" cy="247650"/>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1356360</xdr:colOff>
      <xdr:row>2</xdr:row>
      <xdr:rowOff>45944</xdr:rowOff>
    </xdr:to>
    <xdr:pic>
      <xdr:nvPicPr>
        <xdr:cNvPr id="3" name="Picture 2" descr="A close up of a logo&#10;&#10;AI-generated content may be incorrect.">
          <a:extLst>
            <a:ext uri="{FF2B5EF4-FFF2-40B4-BE49-F238E27FC236}">
              <a16:creationId xmlns:a16="http://schemas.microsoft.com/office/drawing/2014/main" id="{D9D160AA-D9BD-4109-AB2B-6AE5059595CF}"/>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3017" r="9615" b="18592"/>
        <a:stretch/>
      </xdr:blipFill>
      <xdr:spPr bwMode="auto">
        <a:xfrm>
          <a:off x="156882" y="201706"/>
          <a:ext cx="1356360" cy="247650"/>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1348740</xdr:colOff>
      <xdr:row>2</xdr:row>
      <xdr:rowOff>57374</xdr:rowOff>
    </xdr:to>
    <xdr:pic>
      <xdr:nvPicPr>
        <xdr:cNvPr id="2" name="Picture 1" descr="A close up of a logo&#10;&#10;AI-generated content may be incorrect.">
          <a:extLst>
            <a:ext uri="{FF2B5EF4-FFF2-40B4-BE49-F238E27FC236}">
              <a16:creationId xmlns:a16="http://schemas.microsoft.com/office/drawing/2014/main" id="{F9E2C043-012C-4265-9EFF-23A5541C158F}"/>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3017" r="9615" b="18592"/>
        <a:stretch/>
      </xdr:blipFill>
      <xdr:spPr bwMode="auto">
        <a:xfrm>
          <a:off x="156882" y="201706"/>
          <a:ext cx="1356360" cy="247650"/>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1352550</xdr:colOff>
      <xdr:row>2</xdr:row>
      <xdr:rowOff>53564</xdr:rowOff>
    </xdr:to>
    <xdr:pic>
      <xdr:nvPicPr>
        <xdr:cNvPr id="2" name="Picture 1" descr="A close up of a logo&#10;&#10;AI-generated content may be incorrect.">
          <a:extLst>
            <a:ext uri="{FF2B5EF4-FFF2-40B4-BE49-F238E27FC236}">
              <a16:creationId xmlns:a16="http://schemas.microsoft.com/office/drawing/2014/main" id="{BD3E55B8-E403-4175-8808-8E841588D48E}"/>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3017" r="9615" b="18592"/>
        <a:stretch/>
      </xdr:blipFill>
      <xdr:spPr bwMode="auto">
        <a:xfrm>
          <a:off x="156882" y="201706"/>
          <a:ext cx="1356360" cy="247650"/>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1352550</xdr:colOff>
      <xdr:row>2</xdr:row>
      <xdr:rowOff>53564</xdr:rowOff>
    </xdr:to>
    <xdr:pic>
      <xdr:nvPicPr>
        <xdr:cNvPr id="2" name="Picture 1" descr="A close up of a logo&#10;&#10;AI-generated content may be incorrect.">
          <a:extLst>
            <a:ext uri="{FF2B5EF4-FFF2-40B4-BE49-F238E27FC236}">
              <a16:creationId xmlns:a16="http://schemas.microsoft.com/office/drawing/2014/main" id="{491647E7-DC7B-42D9-8689-7D4F2AA3D1E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3017" r="9615" b="18592"/>
        <a:stretch/>
      </xdr:blipFill>
      <xdr:spPr bwMode="auto">
        <a:xfrm>
          <a:off x="156882" y="201706"/>
          <a:ext cx="1356360" cy="247650"/>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1348740</xdr:colOff>
      <xdr:row>2</xdr:row>
      <xdr:rowOff>57374</xdr:rowOff>
    </xdr:to>
    <xdr:pic>
      <xdr:nvPicPr>
        <xdr:cNvPr id="3" name="Picture 2" descr="A close up of a logo&#10;&#10;AI-generated content may be incorrect.">
          <a:extLst>
            <a:ext uri="{FF2B5EF4-FFF2-40B4-BE49-F238E27FC236}">
              <a16:creationId xmlns:a16="http://schemas.microsoft.com/office/drawing/2014/main" id="{ADB145AB-BD66-4AD6-BB92-8AB146674939}"/>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3017" r="9615" b="18592"/>
        <a:stretch/>
      </xdr:blipFill>
      <xdr:spPr bwMode="auto">
        <a:xfrm>
          <a:off x="156882" y="201706"/>
          <a:ext cx="1356360" cy="247650"/>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1356360</xdr:colOff>
      <xdr:row>2</xdr:row>
      <xdr:rowOff>45944</xdr:rowOff>
    </xdr:to>
    <xdr:pic>
      <xdr:nvPicPr>
        <xdr:cNvPr id="2" name="Picture 1" descr="A close up of a logo&#10;&#10;AI-generated content may be incorrect.">
          <a:extLst>
            <a:ext uri="{FF2B5EF4-FFF2-40B4-BE49-F238E27FC236}">
              <a16:creationId xmlns:a16="http://schemas.microsoft.com/office/drawing/2014/main" id="{0547F9BE-A7DC-47EC-8252-2DFE0A3D04AD}"/>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3017" r="9615" b="18592"/>
        <a:stretch/>
      </xdr:blipFill>
      <xdr:spPr bwMode="auto">
        <a:xfrm>
          <a:off x="156882" y="201706"/>
          <a:ext cx="1356360" cy="247650"/>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1356360</xdr:colOff>
      <xdr:row>2</xdr:row>
      <xdr:rowOff>45944</xdr:rowOff>
    </xdr:to>
    <xdr:pic>
      <xdr:nvPicPr>
        <xdr:cNvPr id="2" name="Picture 1" descr="A close up of a logo&#10;&#10;AI-generated content may be incorrect.">
          <a:extLst>
            <a:ext uri="{FF2B5EF4-FFF2-40B4-BE49-F238E27FC236}">
              <a16:creationId xmlns:a16="http://schemas.microsoft.com/office/drawing/2014/main" id="{856DD6B4-712F-415B-9CBD-569C1A426055}"/>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3017" r="9615" b="18592"/>
        <a:stretch/>
      </xdr:blipFill>
      <xdr:spPr bwMode="auto">
        <a:xfrm>
          <a:off x="161925" y="200025"/>
          <a:ext cx="1356360" cy="245969"/>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1356360</xdr:colOff>
      <xdr:row>2</xdr:row>
      <xdr:rowOff>45944</xdr:rowOff>
    </xdr:to>
    <xdr:pic>
      <xdr:nvPicPr>
        <xdr:cNvPr id="3" name="Picture 2" descr="A close up of a logo&#10;&#10;AI-generated content may be incorrect.">
          <a:extLst>
            <a:ext uri="{FF2B5EF4-FFF2-40B4-BE49-F238E27FC236}">
              <a16:creationId xmlns:a16="http://schemas.microsoft.com/office/drawing/2014/main" id="{4B3ECD67-01DD-4CD9-B8AA-D76CF1203A4E}"/>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3017" r="9615" b="18592"/>
        <a:stretch/>
      </xdr:blipFill>
      <xdr:spPr bwMode="auto">
        <a:xfrm>
          <a:off x="156882" y="201706"/>
          <a:ext cx="1356360" cy="247650"/>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1352550</xdr:colOff>
      <xdr:row>2</xdr:row>
      <xdr:rowOff>58578</xdr:rowOff>
    </xdr:to>
    <xdr:pic>
      <xdr:nvPicPr>
        <xdr:cNvPr id="2" name="Picture 1" descr="A close up of a logo&#10;&#10;AI-generated content may be incorrect.">
          <a:extLst>
            <a:ext uri="{FF2B5EF4-FFF2-40B4-BE49-F238E27FC236}">
              <a16:creationId xmlns:a16="http://schemas.microsoft.com/office/drawing/2014/main" id="{8B7054B3-5651-4643-BA90-AC9E39252DDE}"/>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3017" r="9615" b="18592"/>
        <a:stretch/>
      </xdr:blipFill>
      <xdr:spPr bwMode="auto">
        <a:xfrm>
          <a:off x="166688" y="202406"/>
          <a:ext cx="1356360" cy="247650"/>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1356360</xdr:colOff>
      <xdr:row>2</xdr:row>
      <xdr:rowOff>45243</xdr:rowOff>
    </xdr:to>
    <xdr:pic>
      <xdr:nvPicPr>
        <xdr:cNvPr id="6" name="Picture 5" descr="A close up of a logo&#10;&#10;AI-generated content may be incorrect.">
          <a:extLst>
            <a:ext uri="{FF2B5EF4-FFF2-40B4-BE49-F238E27FC236}">
              <a16:creationId xmlns:a16="http://schemas.microsoft.com/office/drawing/2014/main" id="{784E3CC9-5B96-44B5-ACDE-91109EAD53D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3017" r="9615" b="18592"/>
        <a:stretch/>
      </xdr:blipFill>
      <xdr:spPr bwMode="auto">
        <a:xfrm>
          <a:off x="166688" y="202406"/>
          <a:ext cx="1356360" cy="247650"/>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1348740</xdr:colOff>
      <xdr:row>2</xdr:row>
      <xdr:rowOff>49754</xdr:rowOff>
    </xdr:to>
    <xdr:pic>
      <xdr:nvPicPr>
        <xdr:cNvPr id="4" name="Picture 3" descr="A close up of a logo&#10;&#10;AI-generated content may be incorrect.">
          <a:extLst>
            <a:ext uri="{FF2B5EF4-FFF2-40B4-BE49-F238E27FC236}">
              <a16:creationId xmlns:a16="http://schemas.microsoft.com/office/drawing/2014/main" id="{DD93992D-DA9C-4D7D-88A5-47BB3DA0C32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3017" r="9615" b="18592"/>
        <a:stretch/>
      </xdr:blipFill>
      <xdr:spPr bwMode="auto">
        <a:xfrm>
          <a:off x="156882" y="201706"/>
          <a:ext cx="1356360" cy="247650"/>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1352550</xdr:colOff>
      <xdr:row>2</xdr:row>
      <xdr:rowOff>53564</xdr:rowOff>
    </xdr:to>
    <xdr:pic>
      <xdr:nvPicPr>
        <xdr:cNvPr id="4" name="Picture 3" descr="A close up of a logo&#10;&#10;AI-generated content may be incorrect.">
          <a:extLst>
            <a:ext uri="{FF2B5EF4-FFF2-40B4-BE49-F238E27FC236}">
              <a16:creationId xmlns:a16="http://schemas.microsoft.com/office/drawing/2014/main" id="{6853FBB8-175F-44B4-AF40-1E07EB6A876B}"/>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3017" r="9615" b="18592"/>
        <a:stretch/>
      </xdr:blipFill>
      <xdr:spPr bwMode="auto">
        <a:xfrm>
          <a:off x="156882" y="201706"/>
          <a:ext cx="1356360" cy="247650"/>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1348740</xdr:colOff>
      <xdr:row>2</xdr:row>
      <xdr:rowOff>57374</xdr:rowOff>
    </xdr:to>
    <xdr:pic>
      <xdr:nvPicPr>
        <xdr:cNvPr id="2" name="Picture 1" descr="A close up of a logo&#10;&#10;AI-generated content may be incorrect.">
          <a:extLst>
            <a:ext uri="{FF2B5EF4-FFF2-40B4-BE49-F238E27FC236}">
              <a16:creationId xmlns:a16="http://schemas.microsoft.com/office/drawing/2014/main" id="{97496D6C-931C-4A48-993E-F6E0BA8B374F}"/>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3017" r="9615" b="18592"/>
        <a:stretch/>
      </xdr:blipFill>
      <xdr:spPr bwMode="auto">
        <a:xfrm>
          <a:off x="156882" y="201706"/>
          <a:ext cx="1356360" cy="247650"/>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1348740</xdr:colOff>
      <xdr:row>2</xdr:row>
      <xdr:rowOff>54768</xdr:rowOff>
    </xdr:to>
    <xdr:pic>
      <xdr:nvPicPr>
        <xdr:cNvPr id="4" name="Picture 3" descr="A close up of a logo&#10;&#10;AI-generated content may be incorrect.">
          <a:extLst>
            <a:ext uri="{FF2B5EF4-FFF2-40B4-BE49-F238E27FC236}">
              <a16:creationId xmlns:a16="http://schemas.microsoft.com/office/drawing/2014/main" id="{567F8DC2-53A9-45C9-891C-C70501411196}"/>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3017" r="9615" b="18592"/>
        <a:stretch/>
      </xdr:blipFill>
      <xdr:spPr bwMode="auto">
        <a:xfrm>
          <a:off x="166688" y="202406"/>
          <a:ext cx="1356360" cy="247650"/>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1356360</xdr:colOff>
      <xdr:row>2</xdr:row>
      <xdr:rowOff>45243</xdr:rowOff>
    </xdr:to>
    <xdr:pic>
      <xdr:nvPicPr>
        <xdr:cNvPr id="2" name="Picture 1" descr="A close up of a logo&#10;&#10;AI-generated content may be incorrect.">
          <a:extLst>
            <a:ext uri="{FF2B5EF4-FFF2-40B4-BE49-F238E27FC236}">
              <a16:creationId xmlns:a16="http://schemas.microsoft.com/office/drawing/2014/main" id="{26E6EB0B-7DF7-44EF-8FAC-9C261054DDCB}"/>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3017" r="9615" b="18592"/>
        <a:stretch/>
      </xdr:blipFill>
      <xdr:spPr bwMode="auto">
        <a:xfrm>
          <a:off x="166688" y="202406"/>
          <a:ext cx="1356360" cy="247650"/>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1348740</xdr:colOff>
      <xdr:row>2</xdr:row>
      <xdr:rowOff>54768</xdr:rowOff>
    </xdr:to>
    <xdr:pic>
      <xdr:nvPicPr>
        <xdr:cNvPr id="2" name="Picture 1" descr="A close up of a logo&#10;&#10;AI-generated content may be incorrect.">
          <a:extLst>
            <a:ext uri="{FF2B5EF4-FFF2-40B4-BE49-F238E27FC236}">
              <a16:creationId xmlns:a16="http://schemas.microsoft.com/office/drawing/2014/main" id="{C7861A4E-DBE9-4CD1-ACE6-4A6439178443}"/>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3017" r="9615" b="18592"/>
        <a:stretch/>
      </xdr:blipFill>
      <xdr:spPr bwMode="auto">
        <a:xfrm>
          <a:off x="166688" y="202406"/>
          <a:ext cx="1356360" cy="247650"/>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1352550</xdr:colOff>
      <xdr:row>2</xdr:row>
      <xdr:rowOff>53564</xdr:rowOff>
    </xdr:to>
    <xdr:pic>
      <xdr:nvPicPr>
        <xdr:cNvPr id="2" name="Picture 1" descr="A close up of a logo&#10;&#10;AI-generated content may be incorrect.">
          <a:extLst>
            <a:ext uri="{FF2B5EF4-FFF2-40B4-BE49-F238E27FC236}">
              <a16:creationId xmlns:a16="http://schemas.microsoft.com/office/drawing/2014/main" id="{C84BEC78-4B14-4C71-A427-84720B66DD8B}"/>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3017" r="9615" b="18592"/>
        <a:stretch/>
      </xdr:blipFill>
      <xdr:spPr bwMode="auto">
        <a:xfrm>
          <a:off x="156882" y="201706"/>
          <a:ext cx="1356360" cy="247650"/>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1348740</xdr:colOff>
      <xdr:row>2</xdr:row>
      <xdr:rowOff>47353</xdr:rowOff>
    </xdr:to>
    <xdr:pic>
      <xdr:nvPicPr>
        <xdr:cNvPr id="2" name="Picture 1" descr="A close up of a logo&#10;&#10;AI-generated content may be incorrect.">
          <a:extLst>
            <a:ext uri="{FF2B5EF4-FFF2-40B4-BE49-F238E27FC236}">
              <a16:creationId xmlns:a16="http://schemas.microsoft.com/office/drawing/2014/main" id="{0C474E0B-8415-48B2-B0CC-F224F51A1E6C}"/>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3017" r="9615" b="18592"/>
        <a:stretch/>
      </xdr:blipFill>
      <xdr:spPr bwMode="auto">
        <a:xfrm>
          <a:off x="163286" y="204107"/>
          <a:ext cx="1356360" cy="247650"/>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1348740</xdr:colOff>
      <xdr:row>2</xdr:row>
      <xdr:rowOff>49754</xdr:rowOff>
    </xdr:to>
    <xdr:pic>
      <xdr:nvPicPr>
        <xdr:cNvPr id="2" name="Picture 1" descr="A close up of a logo&#10;&#10;AI-generated content may be incorrect.">
          <a:extLst>
            <a:ext uri="{FF2B5EF4-FFF2-40B4-BE49-F238E27FC236}">
              <a16:creationId xmlns:a16="http://schemas.microsoft.com/office/drawing/2014/main" id="{C5A0618E-E601-4D6C-97BC-720477B87B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3017" r="9615" b="18592"/>
        <a:stretch/>
      </xdr:blipFill>
      <xdr:spPr bwMode="auto">
        <a:xfrm>
          <a:off x="156882" y="201706"/>
          <a:ext cx="1356360" cy="247650"/>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1352550</xdr:colOff>
      <xdr:row>2</xdr:row>
      <xdr:rowOff>54973</xdr:rowOff>
    </xdr:to>
    <xdr:pic>
      <xdr:nvPicPr>
        <xdr:cNvPr id="2" name="Picture 1" descr="A close up of a logo&#10;&#10;AI-generated content may be incorrect.">
          <a:extLst>
            <a:ext uri="{FF2B5EF4-FFF2-40B4-BE49-F238E27FC236}">
              <a16:creationId xmlns:a16="http://schemas.microsoft.com/office/drawing/2014/main" id="{F7CF5376-A949-44E4-A2D8-D65DD417BF42}"/>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3017" r="9615" b="18592"/>
        <a:stretch/>
      </xdr:blipFill>
      <xdr:spPr bwMode="auto">
        <a:xfrm>
          <a:off x="163286" y="204107"/>
          <a:ext cx="1356360" cy="247650"/>
        </a:xfrm>
        <a:prstGeom prst="rect">
          <a:avLst/>
        </a:prstGeom>
        <a:noFill/>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oglio25">
    <pageSetUpPr fitToPage="1"/>
  </sheetPr>
  <dimension ref="B1:F55"/>
  <sheetViews>
    <sheetView showGridLines="0" tabSelected="1" view="pageBreakPreview" zoomScale="85" zoomScaleNormal="85" zoomScaleSheetLayoutView="85" workbookViewId="0">
      <selection activeCell="J7" sqref="J7"/>
    </sheetView>
  </sheetViews>
  <sheetFormatPr defaultColWidth="9.109375" defaultRowHeight="17.399999999999999" x14ac:dyDescent="0.4"/>
  <cols>
    <col min="1" max="1" width="2.44140625" style="110" customWidth="1"/>
    <col min="2" max="2" width="7.5546875" style="110" customWidth="1"/>
    <col min="3" max="3" width="24.44140625" style="110" customWidth="1"/>
    <col min="4" max="4" width="49.109375" style="110" customWidth="1"/>
    <col min="5" max="5" width="18.44140625" style="101" customWidth="1"/>
    <col min="6" max="6" width="21.44140625" style="110" customWidth="1"/>
    <col min="7" max="7" width="3.6640625" style="110" customWidth="1"/>
    <col min="8" max="16384" width="9.109375" style="110"/>
  </cols>
  <sheetData>
    <row r="1" spans="2:6" ht="12.75" customHeight="1" x14ac:dyDescent="0.4">
      <c r="B1" s="133"/>
      <c r="C1" s="133"/>
    </row>
    <row r="2" spans="2:6" x14ac:dyDescent="0.4">
      <c r="B2" s="133"/>
      <c r="C2" s="133"/>
    </row>
    <row r="3" spans="2:6" x14ac:dyDescent="0.4">
      <c r="B3" s="133"/>
      <c r="C3" s="133"/>
    </row>
    <row r="4" spans="2:6" x14ac:dyDescent="0.4">
      <c r="B4" s="133"/>
      <c r="C4" s="133"/>
    </row>
    <row r="5" spans="2:6" ht="16.5" customHeight="1" x14ac:dyDescent="0.4">
      <c r="B5" s="134"/>
      <c r="D5" s="134"/>
      <c r="E5" s="135"/>
      <c r="F5" s="134"/>
    </row>
    <row r="6" spans="2:6" ht="16.5" customHeight="1" x14ac:dyDescent="0.4">
      <c r="B6" s="134"/>
      <c r="D6" s="134"/>
      <c r="E6" s="135"/>
      <c r="F6" s="134"/>
    </row>
    <row r="7" spans="2:6" x14ac:dyDescent="0.4">
      <c r="B7" s="133"/>
      <c r="C7" s="133"/>
    </row>
    <row r="8" spans="2:6" ht="16.5" customHeight="1" x14ac:dyDescent="0.4">
      <c r="B8" s="133"/>
      <c r="C8" s="133"/>
    </row>
    <row r="9" spans="2:6" x14ac:dyDescent="0.4">
      <c r="B9" s="133"/>
      <c r="C9" s="133"/>
    </row>
    <row r="10" spans="2:6" x14ac:dyDescent="0.4">
      <c r="B10" s="133"/>
      <c r="C10" s="133"/>
    </row>
    <row r="11" spans="2:6" x14ac:dyDescent="0.4">
      <c r="B11" s="136"/>
      <c r="C11" s="136"/>
      <c r="D11" s="99"/>
      <c r="E11" s="100"/>
      <c r="F11" s="99"/>
    </row>
    <row r="12" spans="2:6" x14ac:dyDescent="0.4">
      <c r="B12" s="136"/>
      <c r="C12" s="136"/>
      <c r="D12" s="99"/>
      <c r="E12" s="100"/>
      <c r="F12" s="99"/>
    </row>
    <row r="13" spans="2:6" ht="40.5" customHeight="1" x14ac:dyDescent="0.35">
      <c r="B13" s="1042" t="s">
        <v>613</v>
      </c>
      <c r="C13" s="1042"/>
      <c r="D13" s="1042"/>
      <c r="E13" s="1042"/>
      <c r="F13" s="1042"/>
    </row>
    <row r="14" spans="2:6" x14ac:dyDescent="0.4">
      <c r="B14" s="136"/>
      <c r="C14" s="136"/>
      <c r="D14" s="99"/>
      <c r="E14" s="100"/>
      <c r="F14" s="99"/>
    </row>
    <row r="15" spans="2:6" x14ac:dyDescent="0.4">
      <c r="B15" s="136"/>
      <c r="C15" s="136"/>
      <c r="D15" s="99"/>
      <c r="E15" s="100"/>
      <c r="F15" s="99"/>
    </row>
    <row r="16" spans="2:6" ht="13.5" customHeight="1" x14ac:dyDescent="0.4">
      <c r="B16" s="133"/>
      <c r="C16" s="136"/>
      <c r="D16" s="99"/>
      <c r="E16" s="100"/>
      <c r="F16" s="101"/>
    </row>
    <row r="17" spans="2:6" x14ac:dyDescent="0.4">
      <c r="B17" s="133"/>
      <c r="C17" s="136"/>
      <c r="D17" s="102"/>
      <c r="E17" s="100"/>
      <c r="F17" s="101"/>
    </row>
    <row r="18" spans="2:6" x14ac:dyDescent="0.4">
      <c r="B18" s="133"/>
      <c r="C18" s="136"/>
      <c r="D18" s="103" t="s">
        <v>176</v>
      </c>
      <c r="E18" s="104">
        <v>1</v>
      </c>
      <c r="F18" s="101"/>
    </row>
    <row r="19" spans="2:6" x14ac:dyDescent="0.4">
      <c r="B19" s="133"/>
      <c r="C19" s="136"/>
      <c r="D19" s="102" t="s">
        <v>177</v>
      </c>
      <c r="E19" s="105">
        <v>2</v>
      </c>
      <c r="F19" s="101"/>
    </row>
    <row r="20" spans="2:6" ht="17.25" customHeight="1" x14ac:dyDescent="0.4">
      <c r="B20" s="133"/>
      <c r="C20" s="137"/>
      <c r="D20" s="103" t="s">
        <v>178</v>
      </c>
      <c r="E20" s="105">
        <v>3</v>
      </c>
      <c r="F20" s="101"/>
    </row>
    <row r="21" spans="2:6" ht="17.25" customHeight="1" x14ac:dyDescent="0.4">
      <c r="B21" s="133"/>
      <c r="C21" s="137"/>
      <c r="D21" s="103" t="s">
        <v>179</v>
      </c>
      <c r="E21" s="105">
        <v>4</v>
      </c>
      <c r="F21" s="101"/>
    </row>
    <row r="22" spans="2:6" ht="17.25" customHeight="1" x14ac:dyDescent="0.4">
      <c r="B22" s="133"/>
      <c r="C22" s="137"/>
      <c r="D22" s="103" t="s">
        <v>44</v>
      </c>
      <c r="E22" s="104">
        <v>5</v>
      </c>
      <c r="F22" s="107"/>
    </row>
    <row r="23" spans="2:6" ht="17.25" customHeight="1" x14ac:dyDescent="0.4">
      <c r="B23" s="133"/>
      <c r="C23" s="136"/>
      <c r="D23" s="103" t="s">
        <v>1</v>
      </c>
      <c r="E23" s="104">
        <v>6</v>
      </c>
      <c r="F23" s="107"/>
    </row>
    <row r="24" spans="2:6" ht="17.25" customHeight="1" x14ac:dyDescent="0.4">
      <c r="B24" s="133"/>
      <c r="C24" s="136"/>
      <c r="D24" s="103" t="s">
        <v>683</v>
      </c>
      <c r="E24" s="104">
        <v>7</v>
      </c>
      <c r="F24" s="107"/>
    </row>
    <row r="25" spans="2:6" ht="17.25" customHeight="1" x14ac:dyDescent="0.4">
      <c r="B25" s="133"/>
      <c r="C25" s="136"/>
      <c r="D25" s="102" t="s">
        <v>376</v>
      </c>
      <c r="E25" s="105">
        <v>8</v>
      </c>
      <c r="F25" s="107"/>
    </row>
    <row r="26" spans="2:6" ht="17.25" customHeight="1" x14ac:dyDescent="0.4">
      <c r="B26" s="133"/>
      <c r="C26" s="136"/>
      <c r="D26" s="103" t="s">
        <v>180</v>
      </c>
      <c r="E26" s="104">
        <v>9</v>
      </c>
      <c r="F26" s="107"/>
    </row>
    <row r="27" spans="2:6" ht="17.25" customHeight="1" x14ac:dyDescent="0.4">
      <c r="B27" s="133"/>
      <c r="C27" s="136"/>
      <c r="D27" s="103" t="s">
        <v>727</v>
      </c>
      <c r="E27" s="104">
        <v>10</v>
      </c>
      <c r="F27" s="107"/>
    </row>
    <row r="28" spans="2:6" ht="17.25" customHeight="1" x14ac:dyDescent="0.4">
      <c r="B28" s="133"/>
      <c r="C28" s="136"/>
      <c r="D28" s="103" t="s">
        <v>728</v>
      </c>
      <c r="E28" s="104">
        <v>11</v>
      </c>
      <c r="F28" s="107"/>
    </row>
    <row r="29" spans="2:6" ht="17.25" customHeight="1" x14ac:dyDescent="0.4">
      <c r="B29" s="133"/>
      <c r="C29" s="136"/>
      <c r="D29" s="103" t="s">
        <v>181</v>
      </c>
      <c r="E29" s="104">
        <v>12</v>
      </c>
      <c r="F29" s="107"/>
    </row>
    <row r="30" spans="2:6" ht="17.25" customHeight="1" x14ac:dyDescent="0.4">
      <c r="B30" s="133"/>
      <c r="C30" s="136"/>
      <c r="D30" s="103" t="s">
        <v>182</v>
      </c>
      <c r="E30" s="104">
        <v>13</v>
      </c>
      <c r="F30" s="107"/>
    </row>
    <row r="31" spans="2:6" ht="17.25" customHeight="1" x14ac:dyDescent="0.4">
      <c r="B31" s="133"/>
      <c r="C31" s="136"/>
      <c r="D31" s="103" t="s">
        <v>183</v>
      </c>
      <c r="E31" s="104">
        <v>14</v>
      </c>
      <c r="F31" s="107"/>
    </row>
    <row r="32" spans="2:6" ht="17.25" customHeight="1" x14ac:dyDescent="0.4">
      <c r="B32" s="133"/>
      <c r="C32" s="136"/>
      <c r="D32" s="103" t="s">
        <v>184</v>
      </c>
      <c r="E32" s="104">
        <v>15</v>
      </c>
      <c r="F32" s="107"/>
    </row>
    <row r="33" spans="2:6" ht="17.25" customHeight="1" x14ac:dyDescent="0.4">
      <c r="B33" s="133"/>
      <c r="C33" s="136"/>
      <c r="D33" s="103" t="s">
        <v>185</v>
      </c>
      <c r="E33" s="104">
        <v>16</v>
      </c>
      <c r="F33" s="107"/>
    </row>
    <row r="34" spans="2:6" ht="17.25" customHeight="1" x14ac:dyDescent="0.4">
      <c r="B34" s="133"/>
      <c r="C34" s="136"/>
      <c r="D34" s="103" t="s">
        <v>620</v>
      </c>
      <c r="E34" s="104">
        <v>17</v>
      </c>
      <c r="F34" s="107"/>
    </row>
    <row r="35" spans="2:6" ht="17.25" customHeight="1" x14ac:dyDescent="0.4">
      <c r="B35" s="133"/>
      <c r="C35" s="136"/>
      <c r="D35" s="103" t="s">
        <v>218</v>
      </c>
      <c r="E35" s="104">
        <v>18</v>
      </c>
      <c r="F35" s="104"/>
    </row>
    <row r="36" spans="2:6" ht="17.25" customHeight="1" x14ac:dyDescent="0.4">
      <c r="B36" s="133"/>
      <c r="C36" s="136"/>
      <c r="D36" s="103" t="s">
        <v>443</v>
      </c>
      <c r="E36" s="104">
        <v>19</v>
      </c>
      <c r="F36" s="104"/>
    </row>
    <row r="37" spans="2:6" ht="17.25" customHeight="1" x14ac:dyDescent="0.4">
      <c r="B37" s="133"/>
      <c r="C37" s="136"/>
      <c r="D37" s="103" t="s">
        <v>515</v>
      </c>
      <c r="E37" s="104">
        <v>20</v>
      </c>
      <c r="F37" s="104"/>
    </row>
    <row r="38" spans="2:6" ht="17.25" customHeight="1" x14ac:dyDescent="0.4">
      <c r="B38" s="133"/>
      <c r="C38" s="136"/>
      <c r="D38" s="103" t="s">
        <v>514</v>
      </c>
      <c r="E38" s="104">
        <v>21</v>
      </c>
      <c r="F38" s="104"/>
    </row>
    <row r="39" spans="2:6" ht="17.25" customHeight="1" x14ac:dyDescent="0.4">
      <c r="B39" s="133"/>
      <c r="C39" s="136"/>
      <c r="D39" s="103" t="s">
        <v>186</v>
      </c>
      <c r="E39" s="104">
        <v>22</v>
      </c>
      <c r="F39" s="107"/>
    </row>
    <row r="40" spans="2:6" ht="17.25" customHeight="1" x14ac:dyDescent="0.4">
      <c r="B40" s="133"/>
      <c r="C40" s="133"/>
      <c r="D40" s="108" t="s">
        <v>50</v>
      </c>
      <c r="E40" s="109"/>
      <c r="F40" s="101"/>
    </row>
    <row r="41" spans="2:6" ht="17.25" customHeight="1" x14ac:dyDescent="0.4">
      <c r="B41" s="133"/>
      <c r="C41" s="133"/>
      <c r="D41" s="106" t="s">
        <v>51</v>
      </c>
      <c r="F41" s="101"/>
    </row>
    <row r="42" spans="2:6" ht="17.25" customHeight="1" x14ac:dyDescent="0.4">
      <c r="B42" s="133"/>
      <c r="C42" s="133"/>
      <c r="D42" s="106" t="s">
        <v>16</v>
      </c>
      <c r="F42" s="101"/>
    </row>
    <row r="43" spans="2:6" ht="17.25" customHeight="1" x14ac:dyDescent="0.4">
      <c r="B43" s="133"/>
      <c r="C43" s="133"/>
      <c r="D43" s="106" t="s">
        <v>79</v>
      </c>
      <c r="F43" s="101"/>
    </row>
    <row r="44" spans="2:6" ht="17.25" customHeight="1" x14ac:dyDescent="0.4">
      <c r="B44" s="133"/>
      <c r="C44" s="133"/>
      <c r="D44" s="106" t="s">
        <v>17</v>
      </c>
    </row>
    <row r="45" spans="2:6" x14ac:dyDescent="0.4">
      <c r="B45" s="133"/>
      <c r="C45" s="133"/>
      <c r="D45" s="106"/>
      <c r="E45" s="111"/>
    </row>
    <row r="46" spans="2:6" x14ac:dyDescent="0.4">
      <c r="B46" s="133"/>
      <c r="C46" s="133"/>
    </row>
    <row r="47" spans="2:6" x14ac:dyDescent="0.4">
      <c r="B47" s="133"/>
      <c r="C47" s="133"/>
    </row>
    <row r="48" spans="2:6" ht="15.75" customHeight="1" x14ac:dyDescent="0.35">
      <c r="B48" s="1041"/>
      <c r="C48" s="1041"/>
      <c r="D48" s="1041"/>
      <c r="E48" s="1041"/>
      <c r="F48" s="1041"/>
    </row>
    <row r="49" spans="2:6" ht="15.75" customHeight="1" x14ac:dyDescent="0.35">
      <c r="B49" s="1041"/>
      <c r="C49" s="1041"/>
      <c r="D49" s="1041"/>
      <c r="E49" s="1041"/>
      <c r="F49" s="1041"/>
    </row>
    <row r="50" spans="2:6" ht="12.75" customHeight="1" x14ac:dyDescent="0.4"/>
    <row r="51" spans="2:6" ht="15" x14ac:dyDescent="0.35">
      <c r="B51" s="1040"/>
      <c r="C51" s="1040"/>
      <c r="D51" s="1040"/>
      <c r="E51" s="1040"/>
      <c r="F51" s="1040"/>
    </row>
    <row r="52" spans="2:6" x14ac:dyDescent="0.4">
      <c r="B52" s="138"/>
      <c r="C52" s="134"/>
      <c r="D52" s="134"/>
      <c r="E52" s="135"/>
      <c r="F52" s="134"/>
    </row>
    <row r="53" spans="2:6" x14ac:dyDescent="0.4">
      <c r="B53" s="138"/>
      <c r="C53" s="134"/>
      <c r="D53" s="134"/>
      <c r="E53" s="135"/>
      <c r="F53" s="134"/>
    </row>
    <row r="54" spans="2:6" x14ac:dyDescent="0.4">
      <c r="B54" s="138"/>
      <c r="C54" s="134"/>
      <c r="D54" s="134"/>
      <c r="E54" s="135"/>
      <c r="F54" s="134"/>
    </row>
    <row r="55" spans="2:6" x14ac:dyDescent="0.4">
      <c r="B55" s="139"/>
    </row>
  </sheetData>
  <mergeCells count="3">
    <mergeCell ref="B51:F51"/>
    <mergeCell ref="B48:F49"/>
    <mergeCell ref="B13:F13"/>
  </mergeCells>
  <phoneticPr fontId="24" type="noConversion"/>
  <hyperlinks>
    <hyperlink ref="D20:E20" location="BS!A1" display="Balance Sheet" xr:uid="{00000000-0004-0000-0000-000000000000}"/>
    <hyperlink ref="D21:E21" location="'Selected BS Analysis'!A1" display="Analysis of Selected Balance Sheet Items" xr:uid="{00000000-0004-0000-0000-000001000000}"/>
    <hyperlink ref="D30:E30" location="'Asset Quality'!A1" display="Asset Quality" xr:uid="{00000000-0004-0000-0000-000003000000}"/>
    <hyperlink ref="E22" location="PL!A1" display="PL!A1" xr:uid="{00000000-0004-0000-0000-000005000000}"/>
    <hyperlink ref="E30" location="'Loan Portfolio Quality'!A1" display="'Loan Portfolio Quality'!A1" xr:uid="{00000000-0004-0000-0000-000006000000}"/>
    <hyperlink ref="D33" location="'Capital Adequacy'!A1" display="Capital Adequacy" xr:uid="{00000000-0004-0000-0000-000007000000}"/>
    <hyperlink ref="D21" location="' Analysis of selected BS items'!A1" display="Analysis of Selected Balance Sheet Items" xr:uid="{00000000-0004-0000-0000-000008000000}"/>
    <hyperlink ref="E21" location="' Analysis of selected BS items'!A1" display="' Analysis of selected BS items'!A1" xr:uid="{00000000-0004-0000-0000-000009000000}"/>
    <hyperlink ref="D30" location="'Loan Portfolio Quality'!A1" display="Loan Portfolio Quality" xr:uid="{00000000-0004-0000-0000-00000C000000}"/>
    <hyperlink ref="D39" location="'Other Information'!A1" display="Other Information" xr:uid="{00000000-0004-0000-0000-00000D000000}"/>
    <hyperlink ref="D32" location="'NPE flow decomposition'!A1" display="NPE flow decomposition" xr:uid="{00000000-0004-0000-0000-00000E000000}"/>
    <hyperlink ref="E33" location="'Capital Adequacy'!A1" display="7" xr:uid="{00000000-0004-0000-0000-00000F000000}"/>
    <hyperlink ref="E39" location="'Other Information'!Print_Titles" display="8" xr:uid="{00000000-0004-0000-0000-000010000000}"/>
    <hyperlink ref="E32" location="'NPE flow decomposition'!A1" display="'NPE flow decomposition'!A1" xr:uid="{00000000-0004-0000-0000-000011000000}"/>
    <hyperlink ref="D18" location="'Financial Highlights'!Print_Area" display="Financila Highlights" xr:uid="{1AFAA5DE-8391-43CF-8E04-8351F280D267}"/>
    <hyperlink ref="E18" location="'Financial Highlights'!Print_Area" display="'Financial Highlights'!Print_Area" xr:uid="{CC69901D-CFBF-4678-BD27-008486F3DD74}"/>
    <hyperlink ref="D24" location="NFI!A1" display="Net Fee Income" xr:uid="{770F8F97-7C66-4B42-960D-15AF8A7B616D}"/>
    <hyperlink ref="D25" location="OPEX!Print_Area" display="Operating costs analysis" xr:uid="{7F774F03-A0C9-4D94-863E-13BF7CF0E945}"/>
    <hyperlink ref="D26" location="'PL Segment view'!A1" display="P&amp;L Segment view" xr:uid="{D646D995-DD71-40C2-A90B-BED25E951EBF}"/>
    <hyperlink ref="D29" location="'Performing Loans'!A1" display="Performing Loans" xr:uid="{80E650C9-F9A2-4DBA-AB2E-819BA478DBD9}"/>
    <hyperlink ref="D31" location="'IFRS9 Stages'!A1" display="IFRS9 Stages" xr:uid="{0B3C8A63-9312-4653-9915-4A5E638B3B73}"/>
    <hyperlink ref="E24" location="NFI!A1" display="NFI!A1" xr:uid="{F27659A3-1B57-4F39-8D19-436D2F035CB1}"/>
    <hyperlink ref="E25" location="OPEX!Print_Area" display="OPEX!Print_Area" xr:uid="{C9311BD2-7799-4F92-A442-8A78450B8566}"/>
    <hyperlink ref="E26" location="'PL Segment view'!A1" display="'PL Segment view'!A1" xr:uid="{A27963EB-44EB-40A2-B77B-5FCE8C3ED4BB}"/>
    <hyperlink ref="E29" location="'Performing Loans'!A1" display="'Performing Loans'!A1" xr:uid="{94464FE2-72AE-4ABB-8C0E-791B379E5851}"/>
    <hyperlink ref="E31" location="'IFRS9 Stages'!A1" display="'IFRS9 Stages'!A1" xr:uid="{359191A3-D8E8-45C7-B75A-B9CF8B76FD3C}"/>
    <hyperlink ref="D22" location="PL!A1" display="Consolidated P&amp;L" xr:uid="{00000000-0004-0000-0000-000004000000}"/>
    <hyperlink ref="D23" location="NII!A1" display="Net Interest Income" xr:uid="{053C4210-58B0-43FC-9C69-7302CBA23D42}"/>
    <hyperlink ref="E23" location="NII!A1" display="NII!A1" xr:uid="{EE2AEE4D-1B52-484A-8401-84A564DBF856}"/>
    <hyperlink ref="D20" location="'Balance Sheet'!A1" display="Consolidated Balance Sheet" xr:uid="{ACF746F8-36F0-4DAB-BA74-C250A9146D45}"/>
    <hyperlink ref="D19" location="'EPS calculations'!Print_Area" display="EPS calculations" xr:uid="{779E2F1E-060B-48D1-BB28-284FE4AB7F1E}"/>
    <hyperlink ref="E19" location="'EPS calculations'!Print_Area" display="'EPS calculations'!Print_Area" xr:uid="{E565207B-0843-4FEC-9ED9-F45267C3298A}"/>
    <hyperlink ref="E20" location="'Balance Sheet'!Print_Area" display="'Balance Sheet'!Print_Area" xr:uid="{F4D6C0F9-80BF-4CA4-A4B5-F22FBBA51A83}"/>
    <hyperlink ref="D35" location="'Debt securities'!Print_Area" display="Debt securities" xr:uid="{18A4D239-25C4-4266-90B2-F17EA50B1269}"/>
    <hyperlink ref="E35" location="'Debt securities'!Print_Area" display="'Debt securities'!Print_Area" xr:uid="{65C79287-2279-4464-BC76-265CB71E69C1}"/>
    <hyperlink ref="E36" location="'Synthetic securitizations'!Print_Area" display="'Synthetic securitizations'!Print_Area" xr:uid="{5E03A2EE-3028-458B-ABD9-98756C964C4E}"/>
    <hyperlink ref="D36" location="'Synthetic securitizations'!Print_Area" display="Synthetic securitizations of performing loans" xr:uid="{440535DA-937E-425D-9C8D-23602B8F847A}"/>
    <hyperlink ref="D37" location="'Dividends &amp; share buy back'!Print_Area" display="Dividends and share buy back" xr:uid="{869A105A-F192-4067-A727-655E1FCAC724}"/>
    <hyperlink ref="D38" location="'Customers'' data'!Print_Area" display="Customers' data" xr:uid="{A20A9D30-01ED-45DF-9382-40F3E7CCDD4B}"/>
    <hyperlink ref="E37" location="'Dividends &amp; share buy back'!Print_Area" display="'Dividends &amp; share buy back'!Print_Area" xr:uid="{DB87B947-C9C1-4E00-8C1F-DF7D53CA6AEB}"/>
    <hyperlink ref="E38" location="'Customers'' data'!Print_Area" display="'Customers'' data'!Print_Area" xr:uid="{15BE9861-4F7A-48B4-BBA9-44579F083B26}"/>
    <hyperlink ref="D34" location="'Ethniki Insurance'!A1" display="Ethniki Insurance selected items" xr:uid="{6B9B9859-899C-4A90-BAFF-B1B9DA7CA7F2}"/>
    <hyperlink ref="E34" location="'Ethniki Insurance'!A1" display="'Ethniki Insurance'!A1" xr:uid="{3F413EF5-C262-4761-87BF-193F840E8985}"/>
    <hyperlink ref="D27" location="'PL Snappi'!A1" display="PL Snappi" xr:uid="{78306F4C-C9C3-45C7-8248-5C9CF1393BE5}"/>
    <hyperlink ref="D28" location="'Net credit expansion'!A1" display="Net credit expansion" xr:uid="{91591D30-57F3-42B8-BDDF-AA078BEEA4EA}"/>
    <hyperlink ref="E27" location="'PL Snappi'!A1" display="'PL Snappi'!A1" xr:uid="{77A6F7C6-1698-4BB9-8744-E80423F2DA63}"/>
    <hyperlink ref="E28" location="'Net credit expansion'!A1" display="'Net credit expansion'!A1" xr:uid="{BAA9CA24-30AB-402C-B1FA-B8A2A190277D}"/>
  </hyperlinks>
  <printOptions horizontalCentered="1" verticalCentered="1"/>
  <pageMargins left="0" right="0" top="0" bottom="0" header="0" footer="0"/>
  <pageSetup paperSize="9" scale="79" orientation="portrait" r:id="rId1"/>
  <headerFooter alignWithMargins="0"/>
  <rowBreaks count="1" manualBreakCount="1">
    <brk id="54" min="2" max="5"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911984-0643-4544-BD6E-B0FFA0B017B2}">
  <sheetPr codeName="Sheet9">
    <pageSetUpPr fitToPage="1"/>
  </sheetPr>
  <dimension ref="A1:Q31"/>
  <sheetViews>
    <sheetView showGridLines="0" view="pageBreakPreview" zoomScale="85" zoomScaleNormal="90" zoomScaleSheetLayoutView="85" workbookViewId="0">
      <pane xSplit="2" ySplit="8" topLeftCell="C9" activePane="bottomRight" state="frozen"/>
      <selection activeCell="M28" sqref="M28"/>
      <selection pane="topRight" activeCell="M28" sqref="M28"/>
      <selection pane="bottomLeft" activeCell="M28" sqref="M28"/>
      <selection pane="bottomRight" activeCell="B5" sqref="B5:L5"/>
    </sheetView>
  </sheetViews>
  <sheetFormatPr defaultColWidth="9.109375" defaultRowHeight="15.6" x14ac:dyDescent="0.25"/>
  <cols>
    <col min="1" max="1" width="2.44140625" style="6" customWidth="1"/>
    <col min="2" max="2" width="80.6640625" style="6" customWidth="1"/>
    <col min="3" max="8" width="19.33203125" style="6" customWidth="1"/>
    <col min="9" max="9" width="2.88671875" style="6" customWidth="1"/>
    <col min="10" max="10" width="19.33203125" style="6" customWidth="1"/>
    <col min="11" max="11" width="2.33203125" style="6" customWidth="1"/>
    <col min="12" max="12" width="19.33203125" style="6" customWidth="1"/>
    <col min="13" max="13" width="3" style="6" customWidth="1"/>
    <col min="14" max="14" width="11" style="6" customWidth="1"/>
    <col min="15" max="15" width="21.33203125" style="6" customWidth="1"/>
    <col min="16" max="16" width="12" style="6" customWidth="1"/>
    <col min="17" max="17" width="5.33203125" style="6" customWidth="1"/>
    <col min="18" max="16384" width="9.109375" style="6"/>
  </cols>
  <sheetData>
    <row r="1" spans="1:17" ht="15.75" customHeight="1" x14ac:dyDescent="0.25">
      <c r="B1" s="112"/>
      <c r="C1" s="112"/>
      <c r="D1" s="112"/>
      <c r="E1" s="112"/>
      <c r="F1" s="112"/>
      <c r="G1" s="112"/>
      <c r="H1" s="112"/>
      <c r="I1" s="112"/>
      <c r="J1" s="112"/>
      <c r="K1" s="112"/>
      <c r="L1" s="112"/>
    </row>
    <row r="2" spans="1:17" ht="15.75" customHeight="1" x14ac:dyDescent="0.25">
      <c r="B2" s="112"/>
      <c r="C2" s="115"/>
      <c r="D2" s="115"/>
      <c r="E2" s="115"/>
      <c r="F2" s="115"/>
      <c r="G2" s="115"/>
      <c r="H2" s="112"/>
      <c r="I2" s="112"/>
      <c r="J2" s="112"/>
      <c r="K2" s="112"/>
      <c r="L2" s="114" t="s">
        <v>18</v>
      </c>
    </row>
    <row r="3" spans="1:17" ht="15.75" customHeight="1" x14ac:dyDescent="0.25">
      <c r="B3" s="112"/>
      <c r="C3" s="112"/>
      <c r="D3" s="112"/>
      <c r="E3" s="112"/>
      <c r="F3" s="112"/>
      <c r="G3" s="112"/>
      <c r="H3" s="112"/>
      <c r="I3" s="112"/>
      <c r="J3" s="112"/>
      <c r="K3" s="112"/>
      <c r="L3" s="112"/>
    </row>
    <row r="4" spans="1:17" ht="15.75" customHeight="1" x14ac:dyDescent="0.25">
      <c r="B4" s="112"/>
      <c r="C4" s="112"/>
      <c r="D4" s="112"/>
      <c r="E4" s="112"/>
      <c r="F4" s="112"/>
      <c r="G4" s="112"/>
      <c r="H4" s="112"/>
      <c r="I4" s="112"/>
      <c r="J4" s="112"/>
      <c r="K4" s="112"/>
      <c r="L4" s="112"/>
    </row>
    <row r="5" spans="1:17" s="17" customFormat="1" ht="27.6" x14ac:dyDescent="0.25">
      <c r="A5" s="16"/>
      <c r="B5" s="1044" t="s">
        <v>572</v>
      </c>
      <c r="C5" s="1049"/>
      <c r="D5" s="1049"/>
      <c r="E5" s="1049"/>
      <c r="F5" s="1049"/>
      <c r="G5" s="1049"/>
      <c r="H5" s="1049"/>
      <c r="I5" s="1049"/>
      <c r="J5" s="1049"/>
      <c r="K5" s="1049"/>
      <c r="L5" s="1049"/>
      <c r="M5" s="12"/>
      <c r="N5" s="12"/>
    </row>
    <row r="6" spans="1:17" s="17" customFormat="1" ht="9" customHeight="1" x14ac:dyDescent="0.25">
      <c r="A6" s="16"/>
      <c r="B6" s="119"/>
      <c r="C6" s="118"/>
      <c r="D6" s="118"/>
      <c r="E6" s="118"/>
      <c r="F6" s="118"/>
      <c r="G6" s="118"/>
      <c r="H6" s="118"/>
      <c r="I6" s="118"/>
      <c r="J6" s="118"/>
      <c r="K6" s="118"/>
      <c r="L6" s="118"/>
    </row>
    <row r="7" spans="1:17" ht="3" customHeight="1" x14ac:dyDescent="0.25">
      <c r="B7" s="112"/>
      <c r="C7" s="112"/>
      <c r="D7" s="112"/>
      <c r="E7" s="112"/>
      <c r="F7" s="112"/>
      <c r="G7" s="112"/>
      <c r="H7" s="112"/>
      <c r="I7" s="112"/>
      <c r="J7" s="112"/>
      <c r="K7" s="112"/>
      <c r="L7" s="112"/>
    </row>
    <row r="8" spans="1:17" s="7" customFormat="1" ht="40.5" customHeight="1" x14ac:dyDescent="0.25">
      <c r="B8" s="341" t="s">
        <v>0</v>
      </c>
      <c r="C8" s="342" t="s">
        <v>88</v>
      </c>
      <c r="D8" s="342" t="s">
        <v>116</v>
      </c>
      <c r="E8" s="342" t="s">
        <v>117</v>
      </c>
      <c r="F8" s="342" t="s">
        <v>557</v>
      </c>
      <c r="G8" s="343" t="s">
        <v>39</v>
      </c>
      <c r="H8" s="344" t="s">
        <v>89</v>
      </c>
      <c r="I8" s="455"/>
      <c r="J8" s="463" t="s">
        <v>115</v>
      </c>
      <c r="K8" s="455"/>
      <c r="L8" s="463" t="s">
        <v>90</v>
      </c>
    </row>
    <row r="9" spans="1:17" s="9" customFormat="1" ht="24.75" customHeight="1" x14ac:dyDescent="0.25">
      <c r="B9" s="333" t="s">
        <v>1</v>
      </c>
      <c r="C9" s="226">
        <v>872.98628940000003</v>
      </c>
      <c r="D9" s="226">
        <v>619.51315815999999</v>
      </c>
      <c r="E9" s="226">
        <v>475.71990688</v>
      </c>
      <c r="F9" s="226">
        <v>-5.5518039999999998E-2</v>
      </c>
      <c r="G9" s="322">
        <v>-8.2935983099998865</v>
      </c>
      <c r="H9" s="309">
        <f t="shared" ref="H9:H18" si="0">SUM(C9:G9)</f>
        <v>1959.8702380900004</v>
      </c>
      <c r="I9" s="261"/>
      <c r="J9" s="464">
        <v>-57.270301169999996</v>
      </c>
      <c r="K9" s="473"/>
      <c r="L9" s="640">
        <f t="shared" ref="L9:L18" si="1">H9+J9</f>
        <v>1902.5999369200003</v>
      </c>
    </row>
    <row r="10" spans="1:17" s="9" customFormat="1" ht="24.75" customHeight="1" x14ac:dyDescent="0.25">
      <c r="B10" s="333" t="s">
        <v>114</v>
      </c>
      <c r="C10" s="226">
        <v>292.59349650000001</v>
      </c>
      <c r="D10" s="456">
        <v>241.17559865000001</v>
      </c>
      <c r="E10" s="456">
        <v>15.71802396</v>
      </c>
      <c r="F10" s="456">
        <v>-0.52886517</v>
      </c>
      <c r="G10" s="488">
        <v>37.777355920000005</v>
      </c>
      <c r="H10" s="309">
        <f t="shared" si="0"/>
        <v>586.73560985999995</v>
      </c>
      <c r="I10" s="457"/>
      <c r="J10" s="465">
        <v>3.8340243200000002</v>
      </c>
      <c r="K10" s="474"/>
      <c r="L10" s="640">
        <f t="shared" si="1"/>
        <v>590.56963417999998</v>
      </c>
    </row>
    <row r="11" spans="1:17" s="9" customFormat="1" ht="24.75" customHeight="1" x14ac:dyDescent="0.25">
      <c r="B11" s="333" t="s">
        <v>612</v>
      </c>
      <c r="C11" s="456">
        <v>3.0049999999999999</v>
      </c>
      <c r="D11" s="456">
        <v>0</v>
      </c>
      <c r="E11" s="456">
        <v>0</v>
      </c>
      <c r="F11" s="456">
        <v>0</v>
      </c>
      <c r="G11" s="488">
        <v>96.57452631000001</v>
      </c>
      <c r="H11" s="309">
        <f t="shared" si="0"/>
        <v>99.579526310000006</v>
      </c>
      <c r="I11" s="457"/>
      <c r="J11" s="465">
        <v>5.4660508100000014</v>
      </c>
      <c r="K11" s="474"/>
      <c r="L11" s="640">
        <f t="shared" si="1"/>
        <v>105.04557712</v>
      </c>
      <c r="M11" s="40"/>
      <c r="N11" s="1000"/>
      <c r="O11" s="1000"/>
      <c r="P11" s="1000"/>
      <c r="Q11" s="1000"/>
    </row>
    <row r="12" spans="1:17" s="9" customFormat="1" ht="24.75" customHeight="1" x14ac:dyDescent="0.25">
      <c r="B12" s="333" t="s">
        <v>255</v>
      </c>
      <c r="C12" s="401">
        <v>-17.979716140000001</v>
      </c>
      <c r="D12" s="401">
        <v>4.0038309600000002</v>
      </c>
      <c r="E12" s="401">
        <v>117.34464123000001</v>
      </c>
      <c r="F12" s="401">
        <v>5.4715999999999999E-4</v>
      </c>
      <c r="G12" s="409">
        <v>2.2710559300000037</v>
      </c>
      <c r="H12" s="309">
        <f t="shared" si="0"/>
        <v>105.64035914</v>
      </c>
      <c r="I12" s="457"/>
      <c r="J12" s="466">
        <v>3.52076061</v>
      </c>
      <c r="K12" s="474"/>
      <c r="L12" s="640">
        <f t="shared" si="1"/>
        <v>109.16111975</v>
      </c>
      <c r="M12" s="40"/>
      <c r="N12" s="1001"/>
      <c r="O12" s="1000"/>
      <c r="P12" s="1000"/>
      <c r="Q12" s="1000"/>
    </row>
    <row r="13" spans="1:17" s="9" customFormat="1" ht="24.75" customHeight="1" x14ac:dyDescent="0.25">
      <c r="B13" s="482" t="s">
        <v>170</v>
      </c>
      <c r="C13" s="486">
        <f>SUM(C9:C12)</f>
        <v>1150.6050697600001</v>
      </c>
      <c r="D13" s="486">
        <f>SUM(D9:D12)</f>
        <v>864.69258776999993</v>
      </c>
      <c r="E13" s="486">
        <f>SUM(E9:E12)</f>
        <v>608.78257207000001</v>
      </c>
      <c r="F13" s="486">
        <f>SUM(F9:F12)</f>
        <v>-0.58383605000000005</v>
      </c>
      <c r="G13" s="489">
        <f>SUM(G9:G12)</f>
        <v>128.32933985000014</v>
      </c>
      <c r="H13" s="487">
        <f t="shared" si="0"/>
        <v>2751.8257334</v>
      </c>
      <c r="I13" s="457"/>
      <c r="J13" s="467">
        <f>SUM(J9:J12)</f>
        <v>-44.449465430000004</v>
      </c>
      <c r="K13" s="474"/>
      <c r="L13" s="641">
        <f t="shared" si="1"/>
        <v>2707.3762679699998</v>
      </c>
      <c r="M13" s="40"/>
      <c r="N13" s="1002"/>
      <c r="O13" s="1000"/>
      <c r="P13" s="1000"/>
      <c r="Q13" s="1000"/>
    </row>
    <row r="14" spans="1:17" s="9" customFormat="1" ht="24.75" customHeight="1" x14ac:dyDescent="0.25">
      <c r="B14" s="333" t="s">
        <v>205</v>
      </c>
      <c r="C14" s="478">
        <v>-447.64184223000001</v>
      </c>
      <c r="D14" s="478">
        <v>-179.79177658999998</v>
      </c>
      <c r="E14" s="478">
        <v>-56.518571680000001</v>
      </c>
      <c r="F14" s="478">
        <v>-25.01397553</v>
      </c>
      <c r="G14" s="490">
        <v>-125.54530981999997</v>
      </c>
      <c r="H14" s="404">
        <f t="shared" si="0"/>
        <v>-834.51147585000001</v>
      </c>
      <c r="I14" s="457"/>
      <c r="J14" s="466">
        <v>-35.791738810000005</v>
      </c>
      <c r="K14" s="474"/>
      <c r="L14" s="640">
        <f t="shared" si="1"/>
        <v>-870.30321465999998</v>
      </c>
      <c r="M14" s="40"/>
      <c r="N14" s="1003"/>
      <c r="O14" s="1000"/>
      <c r="P14" s="1000"/>
      <c r="Q14" s="1000"/>
    </row>
    <row r="15" spans="1:17" s="9" customFormat="1" ht="24.75" customHeight="1" x14ac:dyDescent="0.25">
      <c r="B15" s="485" t="s">
        <v>229</v>
      </c>
      <c r="C15" s="484">
        <f>C13+C14</f>
        <v>702.96322753000004</v>
      </c>
      <c r="D15" s="484">
        <f>D13+D14</f>
        <v>684.90081117999989</v>
      </c>
      <c r="E15" s="484">
        <f>E13+E14</f>
        <v>552.26400038999998</v>
      </c>
      <c r="F15" s="484">
        <f>F13+F14</f>
        <v>-25.597811579999998</v>
      </c>
      <c r="G15" s="491">
        <f>G13+G14</f>
        <v>2.7840300300001672</v>
      </c>
      <c r="H15" s="487">
        <f t="shared" si="0"/>
        <v>1917.3142575500001</v>
      </c>
      <c r="I15" s="458"/>
      <c r="J15" s="467">
        <f>J13+J14</f>
        <v>-80.241204240000002</v>
      </c>
      <c r="K15" s="474"/>
      <c r="L15" s="641">
        <f t="shared" si="1"/>
        <v>1837.07305331</v>
      </c>
      <c r="M15" s="40"/>
      <c r="N15" s="1002"/>
      <c r="O15" s="1000"/>
      <c r="P15" s="1000"/>
      <c r="Q15" s="1000"/>
    </row>
    <row r="16" spans="1:17" s="9" customFormat="1" ht="24.75" customHeight="1" x14ac:dyDescent="0.25">
      <c r="B16" s="333" t="s">
        <v>543</v>
      </c>
      <c r="C16" s="478">
        <v>-139.19865228</v>
      </c>
      <c r="D16" s="478">
        <v>-68.142777150000001</v>
      </c>
      <c r="E16" s="478">
        <v>1.432803E-2</v>
      </c>
      <c r="F16" s="478">
        <v>0</v>
      </c>
      <c r="G16" s="490">
        <v>0.16816289000000001</v>
      </c>
      <c r="H16" s="404">
        <f t="shared" si="0"/>
        <v>-207.15893851000001</v>
      </c>
      <c r="I16" s="457"/>
      <c r="J16" s="466">
        <v>-18.111293559999975</v>
      </c>
      <c r="K16" s="474"/>
      <c r="L16" s="642">
        <f>H16+J16</f>
        <v>-225.27023206999999</v>
      </c>
      <c r="M16" s="40"/>
      <c r="N16" s="1004"/>
      <c r="O16" s="1000"/>
      <c r="P16" s="1000"/>
      <c r="Q16" s="1000"/>
    </row>
    <row r="17" spans="2:17" s="9" customFormat="1" ht="24.75" customHeight="1" x14ac:dyDescent="0.25">
      <c r="B17" s="333" t="s">
        <v>230</v>
      </c>
      <c r="C17" s="478">
        <v>-26.549722649999996</v>
      </c>
      <c r="D17" s="478">
        <v>-7.5616672800000009</v>
      </c>
      <c r="E17" s="478">
        <v>-6.2267089199999983</v>
      </c>
      <c r="F17" s="478">
        <v>0</v>
      </c>
      <c r="G17" s="490">
        <v>-14.939476840000006</v>
      </c>
      <c r="H17" s="404">
        <f t="shared" si="0"/>
        <v>-55.277575689999999</v>
      </c>
      <c r="I17" s="457"/>
      <c r="J17" s="466">
        <v>23.768359539999999</v>
      </c>
      <c r="K17" s="474"/>
      <c r="L17" s="642">
        <f>H17+J17</f>
        <v>-31.50921615</v>
      </c>
      <c r="M17" s="40"/>
      <c r="N17" s="1000"/>
      <c r="O17" s="1002"/>
      <c r="P17" s="1000"/>
      <c r="Q17" s="1000"/>
    </row>
    <row r="18" spans="2:17" s="9" customFormat="1" ht="24.75" customHeight="1" x14ac:dyDescent="0.25">
      <c r="B18" s="333" t="s">
        <v>231</v>
      </c>
      <c r="C18" s="401">
        <v>-0.67315601999999997</v>
      </c>
      <c r="D18" s="401">
        <v>0.16121382000000001</v>
      </c>
      <c r="E18" s="401">
        <v>0</v>
      </c>
      <c r="F18" s="401">
        <v>0</v>
      </c>
      <c r="G18" s="409">
        <v>15.300657289999998</v>
      </c>
      <c r="H18" s="404">
        <f t="shared" si="0"/>
        <v>14.788715089999998</v>
      </c>
      <c r="I18" s="457"/>
      <c r="J18" s="466">
        <v>-39.417108570000011</v>
      </c>
      <c r="K18" s="474"/>
      <c r="L18" s="642">
        <f t="shared" si="1"/>
        <v>-24.628393480000014</v>
      </c>
      <c r="M18" s="40"/>
      <c r="N18" s="1000"/>
      <c r="O18" s="1000"/>
      <c r="P18" s="1000"/>
      <c r="Q18" s="1000"/>
    </row>
    <row r="19" spans="2:17" s="9" customFormat="1" ht="24.75" customHeight="1" x14ac:dyDescent="0.25">
      <c r="B19" s="482" t="s">
        <v>544</v>
      </c>
      <c r="C19" s="484">
        <f t="shared" ref="C19:H19" si="2">SUM(C15:C18)</f>
        <v>536.54169658000001</v>
      </c>
      <c r="D19" s="484">
        <f t="shared" si="2"/>
        <v>609.35758056999975</v>
      </c>
      <c r="E19" s="484">
        <f t="shared" si="2"/>
        <v>546.05161950000002</v>
      </c>
      <c r="F19" s="484">
        <f t="shared" si="2"/>
        <v>-25.597811579999998</v>
      </c>
      <c r="G19" s="491">
        <f t="shared" si="2"/>
        <v>3.3133733700001589</v>
      </c>
      <c r="H19" s="487">
        <f t="shared" si="2"/>
        <v>1669.66645844</v>
      </c>
      <c r="I19" s="457"/>
      <c r="J19" s="467">
        <f>SUM(J15:J18)</f>
        <v>-114.00124682999999</v>
      </c>
      <c r="K19" s="474"/>
      <c r="L19" s="641">
        <f>SUM(L15:L18)</f>
        <v>1555.6652116099999</v>
      </c>
      <c r="M19" s="40"/>
      <c r="N19" s="1002"/>
      <c r="O19" s="1000"/>
      <c r="P19" s="1000"/>
      <c r="Q19" s="1000"/>
    </row>
    <row r="20" spans="2:17" s="9" customFormat="1" ht="14.25" customHeight="1" x14ac:dyDescent="0.25">
      <c r="B20" s="479"/>
      <c r="C20" s="480"/>
      <c r="D20" s="480"/>
      <c r="E20" s="480"/>
      <c r="F20" s="480"/>
      <c r="G20" s="492"/>
      <c r="H20" s="404"/>
      <c r="I20" s="457"/>
      <c r="J20" s="468"/>
      <c r="K20" s="474"/>
      <c r="L20" s="643"/>
      <c r="M20" s="40"/>
      <c r="N20" s="1002"/>
      <c r="O20" s="1000"/>
      <c r="P20" s="1000"/>
      <c r="Q20" s="1000"/>
    </row>
    <row r="21" spans="2:17" s="9" customFormat="1" ht="24.75" customHeight="1" x14ac:dyDescent="0.25">
      <c r="B21" s="482" t="s">
        <v>284</v>
      </c>
      <c r="C21" s="483">
        <v>11682.768202629952</v>
      </c>
      <c r="D21" s="483">
        <v>29327.829327870011</v>
      </c>
      <c r="E21" s="483">
        <v>30927.901211819997</v>
      </c>
      <c r="F21" s="483">
        <v>39.535569930000001</v>
      </c>
      <c r="G21" s="493">
        <v>10726.020620850239</v>
      </c>
      <c r="H21" s="487">
        <f>SUM(C21:G21)</f>
        <v>82704.054933100197</v>
      </c>
      <c r="I21" s="476"/>
      <c r="J21" s="469">
        <v>8188.9141304599925</v>
      </c>
      <c r="K21" s="473"/>
      <c r="L21" s="641">
        <f>H21+J21</f>
        <v>90892.969063560187</v>
      </c>
    </row>
    <row r="22" spans="2:17" s="9" customFormat="1" ht="12" customHeight="1" x14ac:dyDescent="0.25">
      <c r="B22" s="479"/>
      <c r="C22" s="480"/>
      <c r="D22" s="480"/>
      <c r="E22" s="480"/>
      <c r="F22" s="480"/>
      <c r="G22" s="492"/>
      <c r="H22" s="309"/>
      <c r="I22" s="476"/>
      <c r="J22" s="464"/>
      <c r="K22" s="473"/>
      <c r="L22" s="640"/>
    </row>
    <row r="23" spans="2:17" s="9" customFormat="1" ht="24.75" customHeight="1" x14ac:dyDescent="0.25">
      <c r="B23" s="479" t="s">
        <v>232</v>
      </c>
      <c r="C23" s="459">
        <f>C9/C21</f>
        <v>7.4724266908204065E-2</v>
      </c>
      <c r="D23" s="459">
        <f t="shared" ref="D23:H23" si="3">D9/D21</f>
        <v>2.1123730339336139E-2</v>
      </c>
      <c r="E23" s="459">
        <f t="shared" si="3"/>
        <v>1.5381577418457021E-2</v>
      </c>
      <c r="F23" s="459" t="s">
        <v>141</v>
      </c>
      <c r="G23" s="494">
        <f t="shared" si="3"/>
        <v>-7.7322229773435427E-4</v>
      </c>
      <c r="H23" s="214">
        <f t="shared" si="3"/>
        <v>2.3697389924536967E-2</v>
      </c>
      <c r="I23" s="477"/>
      <c r="J23" s="470">
        <f>J9/J21</f>
        <v>-6.9936380156892641E-3</v>
      </c>
      <c r="K23" s="475"/>
      <c r="L23" s="644">
        <f>L9/L21</f>
        <v>2.0932311448529521E-2</v>
      </c>
    </row>
    <row r="24" spans="2:17" s="9" customFormat="1" ht="24.75" customHeight="1" x14ac:dyDescent="0.25">
      <c r="B24" s="479" t="s">
        <v>233</v>
      </c>
      <c r="C24" s="459">
        <f t="shared" ref="C24:H24" si="4">(C10+C11)/C21</f>
        <v>2.5302093765196567E-2</v>
      </c>
      <c r="D24" s="459">
        <f t="shared" si="4"/>
        <v>8.2234384261372084E-3</v>
      </c>
      <c r="E24" s="459">
        <f t="shared" si="4"/>
        <v>5.0821502087548375E-4</v>
      </c>
      <c r="F24" s="459" t="s">
        <v>141</v>
      </c>
      <c r="G24" s="494">
        <f t="shared" si="4"/>
        <v>1.2525790037065032E-2</v>
      </c>
      <c r="H24" s="214">
        <f t="shared" si="4"/>
        <v>8.2984460281320463E-3</v>
      </c>
      <c r="I24" s="460"/>
      <c r="J24" s="470">
        <f>(J10+J11)/J21</f>
        <v>1.1356908842659452E-3</v>
      </c>
      <c r="K24" s="460"/>
      <c r="L24" s="644">
        <f>(L10+L11)/L21</f>
        <v>7.6531245317068026E-3</v>
      </c>
    </row>
    <row r="25" spans="2:17" s="9" customFormat="1" ht="24.75" customHeight="1" x14ac:dyDescent="0.25">
      <c r="B25" s="479" t="s">
        <v>234</v>
      </c>
      <c r="C25" s="461">
        <f t="shared" ref="C25:L25" si="5">-C14/(C9+C10+C11)</f>
        <v>0.3830632125552132</v>
      </c>
      <c r="D25" s="461">
        <f t="shared" si="5"/>
        <v>0.20889290718327536</v>
      </c>
      <c r="E25" s="461">
        <f t="shared" si="5"/>
        <v>0.11500653110636885</v>
      </c>
      <c r="F25" s="461" t="s">
        <v>141</v>
      </c>
      <c r="G25" s="495">
        <f>-G14/(G9+G10+G11)</f>
        <v>0.99593065934226344</v>
      </c>
      <c r="H25" s="217">
        <f t="shared" si="5"/>
        <v>0.31536395143268042</v>
      </c>
      <c r="I25" s="462"/>
      <c r="J25" s="471" t="s">
        <v>141</v>
      </c>
      <c r="K25" s="462"/>
      <c r="L25" s="645">
        <f t="shared" si="5"/>
        <v>0.33496195080543356</v>
      </c>
    </row>
    <row r="26" spans="2:17" s="9" customFormat="1" ht="24.75" customHeight="1" x14ac:dyDescent="0.25">
      <c r="B26" s="479" t="s">
        <v>235</v>
      </c>
      <c r="C26" s="459">
        <f t="shared" ref="C26:H26" si="6">C15/C21</f>
        <v>6.0170947102395934E-2</v>
      </c>
      <c r="D26" s="459">
        <f t="shared" si="6"/>
        <v>2.3353273217842408E-2</v>
      </c>
      <c r="E26" s="459">
        <f t="shared" si="6"/>
        <v>1.7856497814308078E-2</v>
      </c>
      <c r="F26" s="459" t="s">
        <v>141</v>
      </c>
      <c r="G26" s="494">
        <f t="shared" si="6"/>
        <v>2.5955851926932812E-4</v>
      </c>
      <c r="H26" s="214">
        <f t="shared" si="6"/>
        <v>2.3182832560035019E-2</v>
      </c>
      <c r="I26" s="460"/>
      <c r="J26" s="470">
        <f>J15/J21</f>
        <v>-9.7987600018334363E-3</v>
      </c>
      <c r="K26" s="460"/>
      <c r="L26" s="644">
        <f>L15/L21</f>
        <v>2.0211387880016994E-2</v>
      </c>
    </row>
    <row r="27" spans="2:17" s="9" customFormat="1" ht="24.75" customHeight="1" x14ac:dyDescent="0.25">
      <c r="B27" s="479" t="s">
        <v>236</v>
      </c>
      <c r="C27" s="459">
        <v>1.5205170850032793E-2</v>
      </c>
      <c r="D27" s="459">
        <v>2.4931402399211212E-3</v>
      </c>
      <c r="E27" s="459">
        <v>-1.5688491692100737E-5</v>
      </c>
      <c r="F27" s="459" t="s">
        <v>141</v>
      </c>
      <c r="G27" s="494">
        <v>-1.5097977710479375E-3</v>
      </c>
      <c r="H27" s="214">
        <v>5.5224706335292341E-3</v>
      </c>
      <c r="I27" s="460"/>
      <c r="J27" s="470">
        <v>2.9983582638933191E-3</v>
      </c>
      <c r="K27" s="460"/>
      <c r="L27" s="644">
        <v>5.1723945285761614E-3</v>
      </c>
    </row>
    <row r="28" spans="2:17" s="9" customFormat="1" ht="24.75" customHeight="1" x14ac:dyDescent="0.25">
      <c r="B28" s="310" t="s">
        <v>91</v>
      </c>
      <c r="C28" s="481">
        <f t="shared" ref="C28:H28" si="7">C19/C21</f>
        <v>4.5925904483769271E-2</v>
      </c>
      <c r="D28" s="481">
        <f t="shared" si="7"/>
        <v>2.07774524925693E-2</v>
      </c>
      <c r="E28" s="481">
        <f t="shared" si="7"/>
        <v>1.7655631261888231E-2</v>
      </c>
      <c r="F28" s="481" t="s">
        <v>141</v>
      </c>
      <c r="G28" s="496">
        <f t="shared" si="7"/>
        <v>3.0890984523741403E-4</v>
      </c>
      <c r="H28" s="220">
        <f t="shared" si="7"/>
        <v>2.0188447347480161E-2</v>
      </c>
      <c r="I28" s="460"/>
      <c r="J28" s="472">
        <f>J19/J21</f>
        <v>-1.3921411925172579E-2</v>
      </c>
      <c r="K28" s="460"/>
      <c r="L28" s="646">
        <f>L19/L21</f>
        <v>1.711535256948362E-2</v>
      </c>
    </row>
    <row r="29" spans="2:17" ht="11.25" customHeight="1" x14ac:dyDescent="0.25">
      <c r="B29" s="265"/>
      <c r="C29" s="265"/>
      <c r="D29" s="265"/>
      <c r="E29" s="265"/>
      <c r="F29" s="265"/>
      <c r="G29" s="265"/>
      <c r="H29" s="265"/>
      <c r="I29" s="265"/>
      <c r="J29" s="265"/>
      <c r="K29" s="265"/>
      <c r="L29" s="265"/>
    </row>
    <row r="30" spans="2:17" ht="15.75" customHeight="1" x14ac:dyDescent="0.25">
      <c r="B30" s="1050" t="s">
        <v>555</v>
      </c>
      <c r="C30" s="1050"/>
      <c r="D30" s="1050"/>
      <c r="E30" s="1050"/>
      <c r="F30" s="1050"/>
      <c r="G30" s="1050"/>
      <c r="H30" s="1050"/>
      <c r="I30" s="1050"/>
      <c r="J30" s="1050"/>
      <c r="K30" s="1050"/>
      <c r="L30" s="1050"/>
    </row>
    <row r="31" spans="2:17" x14ac:dyDescent="0.25">
      <c r="B31" s="1050" t="s">
        <v>542</v>
      </c>
      <c r="C31" s="1050"/>
      <c r="D31" s="1050"/>
      <c r="E31" s="1050"/>
      <c r="F31" s="1050"/>
      <c r="G31" s="1050"/>
      <c r="H31" s="1050"/>
      <c r="I31" s="1050"/>
      <c r="J31" s="1050"/>
      <c r="K31" s="1050"/>
      <c r="L31" s="1050"/>
    </row>
  </sheetData>
  <mergeCells count="3">
    <mergeCell ref="B5:L5"/>
    <mergeCell ref="B30:L30"/>
    <mergeCell ref="B31:L31"/>
  </mergeCells>
  <phoneticPr fontId="24" type="noConversion"/>
  <hyperlinks>
    <hyperlink ref="L2" location="'Cover '!A1" display="Back to Cover" xr:uid="{32C074CC-BB46-4B4F-A093-1AD8656DCB33}"/>
  </hyperlinks>
  <printOptions horizontalCentered="1" verticalCentered="1"/>
  <pageMargins left="0" right="0" top="0" bottom="0" header="0" footer="0"/>
  <pageSetup paperSize="8" scale="85" orientation="landscape"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11E85D-6451-4B2C-96DC-0B4EDFAFEFD6}">
  <sheetPr codeName="Sheet10">
    <pageSetUpPr fitToPage="1"/>
  </sheetPr>
  <dimension ref="A1:J18"/>
  <sheetViews>
    <sheetView showGridLines="0" view="pageBreakPreview" zoomScale="85" zoomScaleNormal="90" zoomScaleSheetLayoutView="85" workbookViewId="0">
      <pane xSplit="2" ySplit="8" topLeftCell="C9" activePane="bottomRight" state="frozen"/>
      <selection activeCell="M28" sqref="M28"/>
      <selection pane="topRight" activeCell="M28" sqref="M28"/>
      <selection pane="bottomLeft" activeCell="M28" sqref="M28"/>
      <selection pane="bottomRight" activeCell="B5" sqref="B5:F5"/>
    </sheetView>
  </sheetViews>
  <sheetFormatPr defaultColWidth="9.109375" defaultRowHeight="15.6" x14ac:dyDescent="0.25"/>
  <cols>
    <col min="1" max="1" width="2.44140625" style="6" customWidth="1"/>
    <col min="2" max="2" width="80.6640625" style="6" customWidth="1"/>
    <col min="3" max="6" width="19.33203125" style="6" customWidth="1"/>
    <col min="7" max="7" width="3" style="6" customWidth="1"/>
    <col min="8" max="8" width="15.6640625" style="6" customWidth="1"/>
    <col min="9" max="9" width="8.44140625" style="6" customWidth="1"/>
    <col min="10" max="10" width="13.6640625" style="6" customWidth="1"/>
    <col min="11" max="16384" width="9.109375" style="6"/>
  </cols>
  <sheetData>
    <row r="1" spans="1:10" ht="15.75" customHeight="1" x14ac:dyDescent="0.25">
      <c r="B1" s="112"/>
      <c r="C1" s="112"/>
      <c r="D1" s="112"/>
      <c r="E1" s="112"/>
      <c r="F1" s="112"/>
    </row>
    <row r="2" spans="1:10" ht="15.75" customHeight="1" x14ac:dyDescent="0.25">
      <c r="B2" s="112"/>
      <c r="C2" s="115"/>
      <c r="D2" s="115"/>
      <c r="E2" s="115"/>
      <c r="F2" s="114" t="s">
        <v>18</v>
      </c>
    </row>
    <row r="3" spans="1:10" ht="15.75" customHeight="1" x14ac:dyDescent="0.25">
      <c r="B3" s="112"/>
      <c r="C3" s="112"/>
      <c r="D3" s="112"/>
      <c r="E3" s="112"/>
      <c r="F3" s="112"/>
    </row>
    <row r="4" spans="1:10" ht="15.75" customHeight="1" x14ac:dyDescent="0.25">
      <c r="B4" s="112"/>
      <c r="C4" s="112"/>
      <c r="D4" s="112"/>
      <c r="E4" s="112"/>
      <c r="F4" s="112"/>
    </row>
    <row r="5" spans="1:10" s="17" customFormat="1" ht="27.6" x14ac:dyDescent="0.25">
      <c r="A5" s="16"/>
      <c r="B5" s="1044" t="s">
        <v>558</v>
      </c>
      <c r="C5" s="1049"/>
      <c r="D5" s="1049"/>
      <c r="E5" s="1049"/>
      <c r="F5" s="1049"/>
      <c r="G5" s="12"/>
      <c r="H5" s="12"/>
    </row>
    <row r="6" spans="1:10" s="17" customFormat="1" ht="9" customHeight="1" x14ac:dyDescent="0.25">
      <c r="A6" s="16"/>
      <c r="B6" s="119"/>
      <c r="C6" s="118"/>
      <c r="D6" s="118"/>
      <c r="E6" s="118"/>
      <c r="F6" s="118"/>
    </row>
    <row r="7" spans="1:10" ht="3" customHeight="1" x14ac:dyDescent="0.25">
      <c r="B7" s="112"/>
      <c r="C7" s="112"/>
      <c r="D7" s="112"/>
      <c r="E7" s="112"/>
      <c r="F7" s="112"/>
    </row>
    <row r="8" spans="1:10" s="7" customFormat="1" ht="40.5" customHeight="1" x14ac:dyDescent="0.25">
      <c r="B8" s="341" t="s">
        <v>0</v>
      </c>
      <c r="C8" s="342" t="s">
        <v>446</v>
      </c>
      <c r="D8" s="342" t="s">
        <v>455</v>
      </c>
      <c r="E8" s="343" t="s">
        <v>496</v>
      </c>
      <c r="F8" s="344" t="s">
        <v>559</v>
      </c>
    </row>
    <row r="9" spans="1:10" s="9" customFormat="1" ht="24.75" customHeight="1" x14ac:dyDescent="0.25">
      <c r="B9" s="333" t="s">
        <v>170</v>
      </c>
      <c r="C9" s="226">
        <v>-1.1408E-2</v>
      </c>
      <c r="D9" s="226">
        <v>-0.21473700000000001</v>
      </c>
      <c r="E9" s="322">
        <v>-0.12951800000000002</v>
      </c>
      <c r="F9" s="309">
        <v>-0.22817400000000004</v>
      </c>
      <c r="H9" s="961"/>
    </row>
    <row r="10" spans="1:10" s="9" customFormat="1" ht="24.75" customHeight="1" x14ac:dyDescent="0.25">
      <c r="B10" s="333" t="s">
        <v>205</v>
      </c>
      <c r="C10" s="226">
        <v>-4.5884299999999998</v>
      </c>
      <c r="D10" s="897">
        <v>-4.9284249999999998</v>
      </c>
      <c r="E10" s="898">
        <v>-6.0511689999999989</v>
      </c>
      <c r="F10" s="309">
        <v>-9.5111390000000036</v>
      </c>
      <c r="H10" s="961"/>
      <c r="J10" s="959"/>
    </row>
    <row r="11" spans="1:10" s="9" customFormat="1" ht="24.75" customHeight="1" x14ac:dyDescent="0.25">
      <c r="B11" s="333" t="s">
        <v>560</v>
      </c>
      <c r="C11" s="456">
        <v>0</v>
      </c>
      <c r="D11" s="456">
        <v>0</v>
      </c>
      <c r="E11" s="488">
        <v>1.1640000000000001E-3</v>
      </c>
      <c r="F11" s="309">
        <v>-2.5596000000000001E-2</v>
      </c>
      <c r="G11" s="40"/>
      <c r="H11" s="961"/>
    </row>
    <row r="12" spans="1:10" s="9" customFormat="1" ht="24.75" customHeight="1" x14ac:dyDescent="0.25">
      <c r="B12" s="485" t="s">
        <v>561</v>
      </c>
      <c r="C12" s="484">
        <v>-4.599837</v>
      </c>
      <c r="D12" s="484">
        <v>-5.1431630000000004</v>
      </c>
      <c r="E12" s="491">
        <v>-6.179523999999998</v>
      </c>
      <c r="F12" s="487">
        <v>-9.7649080000000019</v>
      </c>
      <c r="G12" s="40"/>
      <c r="H12" s="961"/>
    </row>
    <row r="13" spans="1:10" s="9" customFormat="1" ht="24.75" customHeight="1" x14ac:dyDescent="0.25">
      <c r="B13" s="333" t="s">
        <v>122</v>
      </c>
      <c r="C13" s="478">
        <v>-0.98489300000000002</v>
      </c>
      <c r="D13" s="478">
        <v>-1.0994769999999998</v>
      </c>
      <c r="E13" s="490">
        <v>-1.3378430000000003</v>
      </c>
      <c r="F13" s="404">
        <v>-2.1254950000000004</v>
      </c>
      <c r="G13" s="40"/>
      <c r="H13" s="961"/>
    </row>
    <row r="14" spans="1:10" s="9" customFormat="1" ht="24.75" customHeight="1" x14ac:dyDescent="0.25">
      <c r="B14" s="482" t="s">
        <v>563</v>
      </c>
      <c r="C14" s="484">
        <v>-3.6149439999999999</v>
      </c>
      <c r="D14" s="484">
        <v>-4.0436870000000003</v>
      </c>
      <c r="E14" s="491">
        <v>-4.8416800000000002</v>
      </c>
      <c r="F14" s="1008">
        <v>-7.6394129999999993</v>
      </c>
      <c r="G14" s="40"/>
      <c r="H14" s="961"/>
    </row>
    <row r="15" spans="1:10" s="9" customFormat="1" ht="14.25" customHeight="1" x14ac:dyDescent="0.25">
      <c r="B15" s="479"/>
      <c r="C15" s="480"/>
      <c r="D15" s="480"/>
      <c r="E15" s="492"/>
      <c r="F15" s="404"/>
      <c r="G15" s="40"/>
      <c r="H15" s="960"/>
    </row>
    <row r="16" spans="1:10" s="9" customFormat="1" ht="24.75" customHeight="1" x14ac:dyDescent="0.25">
      <c r="B16" s="895" t="s">
        <v>562</v>
      </c>
      <c r="C16" s="896">
        <v>-2.0435750399999999</v>
      </c>
      <c r="D16" s="896">
        <v>-2.2895019099999998</v>
      </c>
      <c r="E16" s="896">
        <v>-2.7074457300000003</v>
      </c>
      <c r="F16" s="1009">
        <v>-4.2482060099999996</v>
      </c>
      <c r="H16" s="960"/>
    </row>
    <row r="17" spans="2:6" ht="11.25" customHeight="1" x14ac:dyDescent="0.25">
      <c r="B17" s="265"/>
      <c r="C17" s="265"/>
      <c r="D17" s="265"/>
      <c r="E17" s="265"/>
      <c r="F17" s="265"/>
    </row>
    <row r="18" spans="2:6" ht="15.75" customHeight="1" x14ac:dyDescent="0.25">
      <c r="B18" s="1050"/>
      <c r="C18" s="1050"/>
      <c r="D18" s="1050"/>
      <c r="E18" s="1050"/>
      <c r="F18" s="1050"/>
    </row>
  </sheetData>
  <mergeCells count="2">
    <mergeCell ref="B5:F5"/>
    <mergeCell ref="B18:F18"/>
  </mergeCells>
  <hyperlinks>
    <hyperlink ref="F2" location="'Cover '!A1" display="Back to Cover" xr:uid="{A63B2642-53E2-4421-83D9-D4045AFF9552}"/>
  </hyperlinks>
  <printOptions horizontalCentered="1" verticalCentered="1"/>
  <pageMargins left="0" right="0" top="0" bottom="0" header="0" footer="0"/>
  <pageSetup paperSize="8" orientation="landscape"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727B05-AF56-4DDD-A430-7EFA627A7861}">
  <sheetPr codeName="Foglio13">
    <pageSetUpPr fitToPage="1"/>
  </sheetPr>
  <dimension ref="A1:U30"/>
  <sheetViews>
    <sheetView showGridLines="0" view="pageBreakPreview" zoomScale="85" zoomScaleNormal="90" zoomScaleSheetLayoutView="85" workbookViewId="0">
      <pane xSplit="2" topLeftCell="C1" activePane="topRight" state="frozen"/>
      <selection activeCell="M28" sqref="M28"/>
      <selection pane="topRight" activeCell="B5" sqref="B5:N5"/>
    </sheetView>
  </sheetViews>
  <sheetFormatPr defaultColWidth="9.109375" defaultRowHeight="15" customHeight="1" x14ac:dyDescent="0.2"/>
  <cols>
    <col min="1" max="1" width="2.44140625" style="20" customWidth="1"/>
    <col min="2" max="2" width="41" style="20" customWidth="1"/>
    <col min="3" max="14" width="14.5546875" style="22" customWidth="1"/>
    <col min="15" max="15" width="2.44140625" style="20" customWidth="1"/>
    <col min="16" max="16" width="9.109375" style="20"/>
    <col min="17" max="17" width="12.44140625" style="20" bestFit="1" customWidth="1"/>
    <col min="18" max="16384" width="9.109375" style="20"/>
  </cols>
  <sheetData>
    <row r="1" spans="1:21" s="23" customFormat="1" ht="15.75" customHeight="1" x14ac:dyDescent="0.4">
      <c r="B1" s="497"/>
      <c r="C1" s="497"/>
      <c r="D1" s="497"/>
      <c r="E1" s="497"/>
      <c r="F1" s="497"/>
      <c r="G1" s="497"/>
      <c r="H1" s="497"/>
      <c r="I1" s="497"/>
      <c r="J1" s="497"/>
      <c r="K1" s="497"/>
      <c r="L1" s="497"/>
      <c r="M1" s="497"/>
      <c r="N1" s="497"/>
    </row>
    <row r="2" spans="1:21" s="23" customFormat="1" ht="15.75" customHeight="1" x14ac:dyDescent="0.4">
      <c r="B2" s="497"/>
      <c r="C2" s="497"/>
      <c r="D2" s="497"/>
      <c r="E2" s="497"/>
      <c r="F2" s="497"/>
      <c r="G2" s="497"/>
      <c r="H2" s="497"/>
      <c r="I2" s="497"/>
      <c r="J2" s="497"/>
      <c r="K2" s="497"/>
      <c r="L2" s="497"/>
      <c r="M2" s="497"/>
      <c r="N2" s="498" t="s">
        <v>18</v>
      </c>
    </row>
    <row r="3" spans="1:21" s="23" customFormat="1" ht="15.75" customHeight="1" x14ac:dyDescent="0.4">
      <c r="B3" s="497"/>
      <c r="C3" s="497"/>
      <c r="D3" s="497"/>
      <c r="E3" s="497"/>
      <c r="F3" s="497"/>
      <c r="G3" s="497"/>
      <c r="H3" s="497"/>
      <c r="I3" s="497"/>
      <c r="J3" s="497"/>
      <c r="K3" s="497"/>
      <c r="L3" s="497"/>
      <c r="M3" s="497"/>
      <c r="N3" s="497"/>
    </row>
    <row r="4" spans="1:21" s="24" customFormat="1" ht="15.75" customHeight="1" x14ac:dyDescent="0.35">
      <c r="B4" s="499"/>
      <c r="C4" s="499"/>
      <c r="D4" s="499"/>
      <c r="E4" s="499"/>
      <c r="F4" s="499"/>
      <c r="G4" s="499"/>
      <c r="H4" s="499"/>
      <c r="I4" s="499"/>
      <c r="J4" s="499"/>
      <c r="K4" s="499"/>
      <c r="L4" s="499"/>
      <c r="M4" s="499"/>
      <c r="N4" s="499"/>
    </row>
    <row r="5" spans="1:21" ht="27.6" x14ac:dyDescent="0.2">
      <c r="A5" s="16"/>
      <c r="B5" s="1044" t="s">
        <v>556</v>
      </c>
      <c r="C5" s="1044"/>
      <c r="D5" s="1044"/>
      <c r="E5" s="1044"/>
      <c r="F5" s="1044"/>
      <c r="G5" s="1044"/>
      <c r="H5" s="1044"/>
      <c r="I5" s="1044"/>
      <c r="J5" s="1044"/>
      <c r="K5" s="1044"/>
      <c r="L5" s="1044"/>
      <c r="M5" s="1044"/>
      <c r="N5" s="1044"/>
    </row>
    <row r="6" spans="1:21" ht="9" customHeight="1" x14ac:dyDescent="0.2">
      <c r="A6" s="16"/>
      <c r="B6" s="119"/>
      <c r="C6" s="119"/>
      <c r="D6" s="119"/>
      <c r="E6" s="119"/>
      <c r="F6" s="119"/>
      <c r="G6" s="119"/>
      <c r="H6" s="119"/>
      <c r="I6" s="119"/>
      <c r="J6" s="119"/>
      <c r="K6" s="119"/>
      <c r="L6" s="119"/>
      <c r="M6" s="119"/>
      <c r="N6" s="119"/>
    </row>
    <row r="7" spans="1:21" ht="11.25" customHeight="1" x14ac:dyDescent="0.2">
      <c r="A7" s="18"/>
      <c r="B7" s="454"/>
      <c r="C7" s="454"/>
      <c r="D7" s="454"/>
      <c r="E7" s="454"/>
      <c r="F7" s="454"/>
      <c r="G7" s="454"/>
      <c r="H7" s="454"/>
      <c r="I7" s="454"/>
      <c r="J7" s="454"/>
      <c r="K7" s="454"/>
      <c r="L7" s="454"/>
      <c r="M7" s="454"/>
      <c r="N7" s="454"/>
    </row>
    <row r="8" spans="1:21" s="23" customFormat="1" ht="11.25" customHeight="1" x14ac:dyDescent="0.4">
      <c r="B8" s="497"/>
      <c r="C8" s="500"/>
      <c r="D8" s="500"/>
      <c r="E8" s="500"/>
      <c r="F8" s="500"/>
      <c r="G8" s="500"/>
      <c r="H8" s="500"/>
      <c r="I8" s="500"/>
      <c r="J8" s="500"/>
      <c r="K8" s="500"/>
      <c r="L8" s="500"/>
      <c r="M8" s="500"/>
      <c r="N8" s="500"/>
    </row>
    <row r="9" spans="1:21" s="23" customFormat="1" ht="28.5" customHeight="1" x14ac:dyDescent="0.3">
      <c r="B9" s="507"/>
      <c r="C9" s="342" t="s">
        <v>154</v>
      </c>
      <c r="D9" s="342" t="s">
        <v>157</v>
      </c>
      <c r="E9" s="342" t="s">
        <v>165</v>
      </c>
      <c r="F9" s="342" t="s">
        <v>268</v>
      </c>
      <c r="G9" s="342" t="s">
        <v>274</v>
      </c>
      <c r="H9" s="342" t="s">
        <v>360</v>
      </c>
      <c r="I9" s="342" t="s">
        <v>397</v>
      </c>
      <c r="J9" s="342" t="s">
        <v>416</v>
      </c>
      <c r="K9" s="342" t="s">
        <v>446</v>
      </c>
      <c r="L9" s="342" t="s">
        <v>455</v>
      </c>
      <c r="M9" s="343" t="s">
        <v>496</v>
      </c>
      <c r="N9" s="344" t="s">
        <v>559</v>
      </c>
    </row>
    <row r="10" spans="1:21" s="25" customFormat="1" ht="20.25" customHeight="1" x14ac:dyDescent="0.4">
      <c r="B10" s="510"/>
      <c r="C10" s="504"/>
      <c r="D10" s="504"/>
      <c r="E10" s="511"/>
      <c r="F10" s="504"/>
      <c r="G10" s="504"/>
      <c r="H10" s="511"/>
      <c r="I10" s="511"/>
      <c r="J10" s="511"/>
      <c r="K10" s="511"/>
      <c r="L10" s="511"/>
      <c r="M10" s="932"/>
      <c r="N10" s="512"/>
      <c r="Q10" s="675"/>
    </row>
    <row r="11" spans="1:21" s="25" customFormat="1" ht="20.25" customHeight="1" x14ac:dyDescent="0.4">
      <c r="B11" s="514" t="s">
        <v>385</v>
      </c>
      <c r="C11" s="505">
        <v>-122.50604986999987</v>
      </c>
      <c r="D11" s="505">
        <v>-84.408810489999709</v>
      </c>
      <c r="E11" s="515">
        <v>-67.934503359999766</v>
      </c>
      <c r="F11" s="505">
        <v>-18</v>
      </c>
      <c r="G11" s="505">
        <v>-15</v>
      </c>
      <c r="H11" s="515">
        <v>-16</v>
      </c>
      <c r="I11" s="515">
        <v>-36</v>
      </c>
      <c r="J11" s="515">
        <v>-25</v>
      </c>
      <c r="K11" s="515">
        <v>-52</v>
      </c>
      <c r="L11" s="515">
        <v>17</v>
      </c>
      <c r="M11" s="933">
        <v>44</v>
      </c>
      <c r="N11" s="516">
        <v>102</v>
      </c>
      <c r="P11" s="48"/>
      <c r="Q11" s="48"/>
      <c r="R11" s="48"/>
      <c r="S11" s="48"/>
      <c r="T11" s="48"/>
    </row>
    <row r="12" spans="1:21" s="25" customFormat="1" ht="20.25" customHeight="1" x14ac:dyDescent="0.4">
      <c r="B12" s="514" t="s">
        <v>564</v>
      </c>
      <c r="C12" s="505">
        <v>-7.9898068499998516</v>
      </c>
      <c r="D12" s="505">
        <v>-1.7256170699998847</v>
      </c>
      <c r="E12" s="515">
        <v>5.7406054199998806</v>
      </c>
      <c r="F12" s="505">
        <v>0</v>
      </c>
      <c r="G12" s="505">
        <v>6</v>
      </c>
      <c r="H12" s="515">
        <v>12</v>
      </c>
      <c r="I12" s="515">
        <v>15</v>
      </c>
      <c r="J12" s="515">
        <v>7</v>
      </c>
      <c r="K12" s="515">
        <v>5</v>
      </c>
      <c r="L12" s="515">
        <v>22</v>
      </c>
      <c r="M12" s="933">
        <v>18</v>
      </c>
      <c r="N12" s="516">
        <v>6</v>
      </c>
      <c r="P12" s="94"/>
      <c r="Q12" s="48"/>
      <c r="R12" s="48"/>
      <c r="S12" s="674"/>
      <c r="T12" s="48"/>
      <c r="U12" s="674"/>
    </row>
    <row r="13" spans="1:21" s="25" customFormat="1" ht="20.25" customHeight="1" x14ac:dyDescent="0.4">
      <c r="B13" s="514" t="s">
        <v>565</v>
      </c>
      <c r="C13" s="505">
        <v>-30.939144300000123</v>
      </c>
      <c r="D13" s="505">
        <v>167.84759396000001</v>
      </c>
      <c r="E13" s="515">
        <v>0.55849422999989429</v>
      </c>
      <c r="F13" s="505">
        <v>44</v>
      </c>
      <c r="G13" s="505">
        <v>-36</v>
      </c>
      <c r="H13" s="515">
        <v>38</v>
      </c>
      <c r="I13" s="515">
        <v>-19</v>
      </c>
      <c r="J13" s="515">
        <v>159</v>
      </c>
      <c r="K13" s="515">
        <v>-68</v>
      </c>
      <c r="L13" s="515">
        <v>60</v>
      </c>
      <c r="M13" s="933">
        <v>-35</v>
      </c>
      <c r="N13" s="516">
        <v>183</v>
      </c>
      <c r="P13" s="94"/>
      <c r="Q13" s="48"/>
      <c r="R13" s="48"/>
      <c r="T13" s="48"/>
      <c r="U13" s="76"/>
    </row>
    <row r="14" spans="1:21" s="25" customFormat="1" ht="20.25" customHeight="1" x14ac:dyDescent="0.4">
      <c r="B14" s="513" t="s">
        <v>239</v>
      </c>
      <c r="C14" s="504">
        <f t="shared" ref="C14:L14" si="0">SUM(C11:C13)</f>
        <v>-161.43500101999985</v>
      </c>
      <c r="D14" s="504">
        <f t="shared" si="0"/>
        <v>81.713166400000418</v>
      </c>
      <c r="E14" s="511">
        <f t="shared" si="0"/>
        <v>-61.635403709999991</v>
      </c>
      <c r="F14" s="504">
        <f t="shared" si="0"/>
        <v>26</v>
      </c>
      <c r="G14" s="504">
        <f t="shared" si="0"/>
        <v>-45</v>
      </c>
      <c r="H14" s="511">
        <f t="shared" si="0"/>
        <v>34</v>
      </c>
      <c r="I14" s="511">
        <f t="shared" si="0"/>
        <v>-40</v>
      </c>
      <c r="J14" s="511">
        <f t="shared" si="0"/>
        <v>141</v>
      </c>
      <c r="K14" s="511">
        <f t="shared" si="0"/>
        <v>-115</v>
      </c>
      <c r="L14" s="511">
        <f t="shared" si="0"/>
        <v>99</v>
      </c>
      <c r="M14" s="932">
        <f t="shared" ref="M14:N14" si="1">SUM(M11:M13)</f>
        <v>27</v>
      </c>
      <c r="N14" s="512">
        <f t="shared" si="1"/>
        <v>291</v>
      </c>
      <c r="P14" s="94"/>
      <c r="Q14" s="48"/>
      <c r="R14" s="48"/>
      <c r="S14" s="48"/>
      <c r="T14" s="48"/>
    </row>
    <row r="15" spans="1:21" s="25" customFormat="1" ht="12.6" customHeight="1" x14ac:dyDescent="0.4">
      <c r="B15" s="514"/>
      <c r="C15" s="505"/>
      <c r="D15" s="505"/>
      <c r="E15" s="515"/>
      <c r="F15" s="505"/>
      <c r="G15" s="505"/>
      <c r="H15" s="515"/>
      <c r="I15" s="515"/>
      <c r="J15" s="515"/>
      <c r="K15" s="515"/>
      <c r="L15" s="515"/>
      <c r="M15" s="933"/>
      <c r="N15" s="516"/>
      <c r="P15" s="94"/>
      <c r="Q15" s="48"/>
      <c r="R15" s="48"/>
      <c r="S15" s="48"/>
      <c r="T15" s="48"/>
    </row>
    <row r="16" spans="1:21" s="25" customFormat="1" ht="20.25" customHeight="1" x14ac:dyDescent="0.4">
      <c r="B16" s="514" t="s">
        <v>656</v>
      </c>
      <c r="C16" s="505">
        <v>-166.65116181641369</v>
      </c>
      <c r="D16" s="505">
        <v>621.00144396895553</v>
      </c>
      <c r="E16" s="515">
        <v>284.96223863083378</v>
      </c>
      <c r="F16" s="505">
        <v>385</v>
      </c>
      <c r="G16" s="505">
        <v>-87</v>
      </c>
      <c r="H16" s="515">
        <v>397</v>
      </c>
      <c r="I16" s="515">
        <v>541</v>
      </c>
      <c r="J16" s="515">
        <v>1337</v>
      </c>
      <c r="K16" s="515">
        <v>1188</v>
      </c>
      <c r="L16" s="515">
        <v>523</v>
      </c>
      <c r="M16" s="933">
        <v>706</v>
      </c>
      <c r="N16" s="516">
        <v>125</v>
      </c>
      <c r="P16" s="48"/>
      <c r="Q16" s="674"/>
      <c r="R16" s="48"/>
      <c r="S16" s="48"/>
      <c r="T16" s="48"/>
    </row>
    <row r="17" spans="1:20" s="25" customFormat="1" ht="20.25" customHeight="1" x14ac:dyDescent="0.4">
      <c r="B17" s="514" t="s">
        <v>440</v>
      </c>
      <c r="C17" s="505">
        <v>129.02070472112064</v>
      </c>
      <c r="D17" s="505">
        <v>-40.609396060358819</v>
      </c>
      <c r="E17" s="515">
        <v>33.408748099999968</v>
      </c>
      <c r="F17" s="505">
        <v>111</v>
      </c>
      <c r="G17" s="505">
        <v>80</v>
      </c>
      <c r="H17" s="515">
        <v>434</v>
      </c>
      <c r="I17" s="515">
        <v>276</v>
      </c>
      <c r="J17" s="515">
        <v>7</v>
      </c>
      <c r="K17" s="515">
        <v>74</v>
      </c>
      <c r="L17" s="515">
        <v>280</v>
      </c>
      <c r="M17" s="933">
        <v>213</v>
      </c>
      <c r="N17" s="516">
        <v>57</v>
      </c>
      <c r="P17" s="48"/>
      <c r="Q17" s="48"/>
      <c r="R17" s="48"/>
      <c r="S17" s="48"/>
      <c r="T17" s="48"/>
    </row>
    <row r="18" spans="1:20" s="25" customFormat="1" ht="20.25" customHeight="1" x14ac:dyDescent="0.4">
      <c r="B18" s="514" t="s">
        <v>566</v>
      </c>
      <c r="C18" s="505">
        <v>-18.337463600000149</v>
      </c>
      <c r="D18" s="505">
        <v>151.64126951999998</v>
      </c>
      <c r="E18" s="515">
        <v>6.8991512141999891</v>
      </c>
      <c r="F18" s="505">
        <v>225</v>
      </c>
      <c r="G18" s="505">
        <v>-142</v>
      </c>
      <c r="H18" s="515">
        <v>275</v>
      </c>
      <c r="I18" s="515">
        <v>18</v>
      </c>
      <c r="J18" s="515">
        <v>178</v>
      </c>
      <c r="K18" s="515">
        <v>3</v>
      </c>
      <c r="L18" s="515">
        <v>233</v>
      </c>
      <c r="M18" s="933">
        <v>0</v>
      </c>
      <c r="N18" s="516">
        <v>233</v>
      </c>
      <c r="P18" s="48"/>
      <c r="Q18" s="48"/>
      <c r="R18" s="48"/>
      <c r="T18" s="48"/>
    </row>
    <row r="19" spans="1:20" s="25" customFormat="1" ht="20.25" customHeight="1" x14ac:dyDescent="0.4">
      <c r="B19" s="513" t="s">
        <v>384</v>
      </c>
      <c r="C19" s="504">
        <f t="shared" ref="C19:K19" si="2">SUM(C16:C18)</f>
        <v>-55.967920695293202</v>
      </c>
      <c r="D19" s="504">
        <f t="shared" si="2"/>
        <v>732.03331742859677</v>
      </c>
      <c r="E19" s="511">
        <f t="shared" si="2"/>
        <v>325.27013794503375</v>
      </c>
      <c r="F19" s="504">
        <f t="shared" si="2"/>
        <v>721</v>
      </c>
      <c r="G19" s="504">
        <f t="shared" si="2"/>
        <v>-149</v>
      </c>
      <c r="H19" s="511">
        <f t="shared" si="2"/>
        <v>1106</v>
      </c>
      <c r="I19" s="511">
        <f t="shared" si="2"/>
        <v>835</v>
      </c>
      <c r="J19" s="511">
        <f t="shared" si="2"/>
        <v>1522</v>
      </c>
      <c r="K19" s="511">
        <f t="shared" si="2"/>
        <v>1265</v>
      </c>
      <c r="L19" s="511">
        <f>SUM(L16:L18)</f>
        <v>1036</v>
      </c>
      <c r="M19" s="932">
        <f t="shared" ref="M19:N19" si="3">SUM(M16:M18)</f>
        <v>919</v>
      </c>
      <c r="N19" s="512">
        <f t="shared" si="3"/>
        <v>415</v>
      </c>
      <c r="P19" s="48"/>
      <c r="Q19" s="48"/>
      <c r="R19" s="48"/>
      <c r="T19" s="48"/>
    </row>
    <row r="20" spans="1:20" s="25" customFormat="1" ht="15" customHeight="1" x14ac:dyDescent="0.4">
      <c r="B20" s="513"/>
      <c r="C20" s="504"/>
      <c r="D20" s="504"/>
      <c r="E20" s="511"/>
      <c r="F20" s="504"/>
      <c r="G20" s="504"/>
      <c r="H20" s="511"/>
      <c r="I20" s="511"/>
      <c r="J20" s="511"/>
      <c r="K20" s="511"/>
      <c r="L20" s="511"/>
      <c r="M20" s="932"/>
      <c r="N20" s="512"/>
      <c r="P20" s="48"/>
      <c r="Q20" s="48"/>
      <c r="R20" s="48"/>
      <c r="T20" s="48"/>
    </row>
    <row r="21" spans="1:20" s="25" customFormat="1" ht="20.25" customHeight="1" x14ac:dyDescent="0.4">
      <c r="B21" s="513" t="s">
        <v>74</v>
      </c>
      <c r="C21" s="504">
        <f>C14+C19</f>
        <v>-217.40292171529305</v>
      </c>
      <c r="D21" s="504">
        <f t="shared" ref="D21:K21" si="4">D14+D19</f>
        <v>813.74648382859721</v>
      </c>
      <c r="E21" s="511">
        <f t="shared" si="4"/>
        <v>263.63473423503376</v>
      </c>
      <c r="F21" s="504">
        <f t="shared" si="4"/>
        <v>747</v>
      </c>
      <c r="G21" s="504">
        <f t="shared" si="4"/>
        <v>-194</v>
      </c>
      <c r="H21" s="511">
        <f t="shared" si="4"/>
        <v>1140</v>
      </c>
      <c r="I21" s="511">
        <f t="shared" si="4"/>
        <v>795</v>
      </c>
      <c r="J21" s="511">
        <f t="shared" si="4"/>
        <v>1663</v>
      </c>
      <c r="K21" s="511">
        <f t="shared" si="4"/>
        <v>1150</v>
      </c>
      <c r="L21" s="511">
        <f>L14+L19</f>
        <v>1135</v>
      </c>
      <c r="M21" s="932">
        <f>M14+M19</f>
        <v>946</v>
      </c>
      <c r="N21" s="512">
        <f t="shared" ref="N21" si="5">N14+N19</f>
        <v>706</v>
      </c>
      <c r="S21" s="48"/>
    </row>
    <row r="22" spans="1:20" s="25" customFormat="1" ht="20.25" customHeight="1" x14ac:dyDescent="0.4">
      <c r="B22" s="517"/>
      <c r="C22" s="518"/>
      <c r="D22" s="518"/>
      <c r="E22" s="519"/>
      <c r="F22" s="518"/>
      <c r="G22" s="518"/>
      <c r="H22" s="519"/>
      <c r="I22" s="519"/>
      <c r="J22" s="519"/>
      <c r="K22" s="519"/>
      <c r="L22" s="519"/>
      <c r="M22" s="689"/>
      <c r="N22" s="520"/>
      <c r="Q22" s="48"/>
      <c r="R22" s="48"/>
    </row>
    <row r="23" spans="1:20" s="26" customFormat="1" ht="11.25" customHeight="1" x14ac:dyDescent="0.4">
      <c r="B23" s="501"/>
      <c r="C23" s="502"/>
      <c r="D23" s="502"/>
      <c r="E23" s="502"/>
      <c r="F23" s="502"/>
      <c r="G23" s="502"/>
      <c r="H23" s="502"/>
      <c r="I23" s="502"/>
      <c r="J23" s="502"/>
      <c r="K23" s="502"/>
      <c r="L23" s="502"/>
      <c r="M23" s="502"/>
      <c r="N23" s="502"/>
      <c r="Q23" s="48"/>
      <c r="R23" s="48"/>
    </row>
    <row r="24" spans="1:20" s="15" customFormat="1" ht="20.25" customHeight="1" x14ac:dyDescent="0.25">
      <c r="B24" s="678" t="s">
        <v>567</v>
      </c>
      <c r="C24" s="506"/>
      <c r="D24" s="506"/>
      <c r="E24" s="503"/>
      <c r="F24" s="503"/>
      <c r="G24" s="503"/>
      <c r="H24" s="503"/>
      <c r="I24" s="503"/>
      <c r="J24" s="503"/>
      <c r="K24" s="503"/>
      <c r="L24" s="503"/>
      <c r="M24" s="503"/>
      <c r="N24" s="503"/>
    </row>
    <row r="25" spans="1:20" s="15" customFormat="1" ht="20.25" customHeight="1" x14ac:dyDescent="0.25">
      <c r="B25" s="678" t="s">
        <v>568</v>
      </c>
      <c r="C25" s="506"/>
      <c r="D25" s="506"/>
      <c r="E25" s="503"/>
      <c r="F25" s="503"/>
      <c r="G25" s="503"/>
      <c r="H25" s="503"/>
      <c r="I25" s="503"/>
      <c r="J25" s="503"/>
      <c r="K25" s="503"/>
      <c r="L25" s="503"/>
      <c r="M25" s="503"/>
      <c r="N25" s="503"/>
    </row>
    <row r="26" spans="1:20" s="22" customFormat="1" ht="11.25" customHeight="1" x14ac:dyDescent="0.2">
      <c r="A26" s="20"/>
      <c r="B26" s="42"/>
    </row>
    <row r="27" spans="1:20" s="22" customFormat="1" ht="21" customHeight="1" x14ac:dyDescent="0.2">
      <c r="A27" s="20"/>
      <c r="B27" s="42"/>
    </row>
    <row r="29" spans="1:20" ht="15" customHeight="1" x14ac:dyDescent="0.2">
      <c r="C29" s="45"/>
      <c r="D29" s="45"/>
      <c r="E29" s="45"/>
      <c r="F29" s="45"/>
      <c r="G29" s="45"/>
      <c r="H29" s="45"/>
      <c r="I29" s="45"/>
      <c r="J29" s="45"/>
      <c r="K29" s="45"/>
      <c r="L29" s="45"/>
      <c r="M29" s="45"/>
      <c r="N29" s="45"/>
      <c r="O29" s="45"/>
    </row>
    <row r="30" spans="1:20" ht="15" customHeight="1" x14ac:dyDescent="0.2">
      <c r="O30" s="22"/>
    </row>
  </sheetData>
  <mergeCells count="1">
    <mergeCell ref="B5:N5"/>
  </mergeCells>
  <hyperlinks>
    <hyperlink ref="N2" location="'Cover '!A1" display="Back to Cover" xr:uid="{6A7CCC09-A890-4866-A9C6-564B6F6D8482}"/>
  </hyperlinks>
  <printOptions horizontalCentered="1" verticalCentered="1"/>
  <pageMargins left="0" right="0" top="0" bottom="0" header="0" footer="0"/>
  <pageSetup paperSize="8" scale="96" orientation="landscape"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7A046A-8ACA-436A-8022-FF8CABA3D9E8}">
  <sheetPr codeName="Foglio7">
    <pageSetUpPr fitToPage="1"/>
  </sheetPr>
  <dimension ref="A1:U39"/>
  <sheetViews>
    <sheetView showGridLines="0" view="pageBreakPreview" zoomScale="85" zoomScaleNormal="90" zoomScaleSheetLayoutView="85" workbookViewId="0">
      <pane xSplit="2" topLeftCell="C1" activePane="topRight" state="frozen"/>
      <selection activeCell="M28" sqref="M28"/>
      <selection pane="topRight" activeCell="B5" sqref="B5:N5"/>
    </sheetView>
  </sheetViews>
  <sheetFormatPr defaultColWidth="9.109375" defaultRowHeight="15" customHeight="1" x14ac:dyDescent="0.2"/>
  <cols>
    <col min="1" max="1" width="2.44140625" style="20" customWidth="1"/>
    <col min="2" max="2" width="41" style="20" customWidth="1"/>
    <col min="3" max="14" width="14.5546875" style="22" customWidth="1"/>
    <col min="15" max="15" width="2.44140625" style="20" customWidth="1"/>
    <col min="16" max="16" width="9.109375" style="20"/>
    <col min="17" max="17" width="12.44140625" style="20" bestFit="1" customWidth="1"/>
    <col min="18" max="16384" width="9.109375" style="20"/>
  </cols>
  <sheetData>
    <row r="1" spans="1:21" s="23" customFormat="1" ht="15.75" customHeight="1" x14ac:dyDescent="0.4">
      <c r="B1" s="497"/>
      <c r="C1" s="497"/>
      <c r="D1" s="497"/>
      <c r="E1" s="497"/>
      <c r="F1" s="497"/>
      <c r="G1" s="497"/>
      <c r="H1" s="497"/>
      <c r="I1" s="497"/>
      <c r="J1" s="497"/>
      <c r="K1" s="497"/>
      <c r="L1" s="497"/>
      <c r="M1" s="497"/>
      <c r="N1" s="497"/>
    </row>
    <row r="2" spans="1:21" s="23" customFormat="1" ht="15.75" customHeight="1" x14ac:dyDescent="0.4">
      <c r="B2" s="497"/>
      <c r="C2" s="497"/>
      <c r="D2" s="497"/>
      <c r="E2" s="497"/>
      <c r="F2" s="497"/>
      <c r="G2" s="497"/>
      <c r="H2" s="497"/>
      <c r="I2" s="497"/>
      <c r="J2" s="497"/>
      <c r="K2" s="497"/>
      <c r="L2" s="497"/>
      <c r="M2" s="497"/>
      <c r="N2" s="498" t="s">
        <v>18</v>
      </c>
    </row>
    <row r="3" spans="1:21" s="23" customFormat="1" ht="15.75" customHeight="1" x14ac:dyDescent="0.4">
      <c r="B3" s="497"/>
      <c r="C3" s="497"/>
      <c r="D3" s="497"/>
      <c r="E3" s="497"/>
      <c r="F3" s="497"/>
      <c r="G3" s="497"/>
      <c r="H3" s="497"/>
      <c r="I3" s="497"/>
      <c r="J3" s="497"/>
      <c r="K3" s="497"/>
      <c r="L3" s="497"/>
      <c r="M3" s="497"/>
      <c r="N3" s="497"/>
    </row>
    <row r="4" spans="1:21" s="24" customFormat="1" ht="15.75" customHeight="1" x14ac:dyDescent="0.35">
      <c r="B4" s="499"/>
      <c r="C4" s="499"/>
      <c r="D4" s="499"/>
      <c r="E4" s="499"/>
      <c r="F4" s="499"/>
      <c r="G4" s="499"/>
      <c r="H4" s="499"/>
      <c r="I4" s="499"/>
      <c r="J4" s="499"/>
      <c r="K4" s="499"/>
      <c r="L4" s="499"/>
      <c r="M4" s="499"/>
      <c r="N4" s="499"/>
    </row>
    <row r="5" spans="1:21" ht="27.6" x14ac:dyDescent="0.2">
      <c r="A5" s="16"/>
      <c r="B5" s="1044" t="s">
        <v>96</v>
      </c>
      <c r="C5" s="1044"/>
      <c r="D5" s="1044"/>
      <c r="E5" s="1044"/>
      <c r="F5" s="1044"/>
      <c r="G5" s="1044"/>
      <c r="H5" s="1044"/>
      <c r="I5" s="1044"/>
      <c r="J5" s="1044"/>
      <c r="K5" s="1044"/>
      <c r="L5" s="1044"/>
      <c r="M5" s="1044"/>
      <c r="N5" s="1044"/>
    </row>
    <row r="6" spans="1:21" ht="9" customHeight="1" x14ac:dyDescent="0.2">
      <c r="A6" s="16"/>
      <c r="B6" s="119"/>
      <c r="C6" s="119"/>
      <c r="D6" s="119"/>
      <c r="E6" s="119"/>
      <c r="F6" s="119"/>
      <c r="G6" s="119"/>
      <c r="H6" s="119"/>
      <c r="I6" s="119"/>
      <c r="J6" s="119"/>
      <c r="K6" s="119"/>
      <c r="L6" s="119"/>
      <c r="M6" s="119"/>
      <c r="N6" s="119"/>
    </row>
    <row r="7" spans="1:21" ht="11.25" customHeight="1" x14ac:dyDescent="0.2">
      <c r="A7" s="18"/>
      <c r="B7" s="454"/>
      <c r="C7" s="454"/>
      <c r="D7" s="454"/>
      <c r="E7" s="454"/>
      <c r="F7" s="454"/>
      <c r="G7" s="454"/>
      <c r="H7" s="454"/>
      <c r="I7" s="454"/>
      <c r="J7" s="454"/>
      <c r="K7" s="454"/>
      <c r="L7" s="454"/>
      <c r="M7" s="454"/>
      <c r="N7" s="454"/>
    </row>
    <row r="8" spans="1:21" s="23" customFormat="1" ht="11.25" customHeight="1" x14ac:dyDescent="0.4">
      <c r="B8" s="497"/>
      <c r="C8" s="500"/>
      <c r="D8" s="500"/>
      <c r="E8" s="500"/>
      <c r="F8" s="500"/>
      <c r="G8" s="500"/>
      <c r="H8" s="500"/>
      <c r="I8" s="500"/>
      <c r="J8" s="500"/>
      <c r="K8" s="500"/>
      <c r="L8" s="500"/>
      <c r="M8" s="500"/>
      <c r="N8" s="500"/>
    </row>
    <row r="9" spans="1:21" s="23" customFormat="1" ht="28.5" customHeight="1" x14ac:dyDescent="0.3">
      <c r="B9" s="507"/>
      <c r="C9" s="508">
        <v>45016</v>
      </c>
      <c r="D9" s="508">
        <v>45107</v>
      </c>
      <c r="E9" s="508">
        <v>45199</v>
      </c>
      <c r="F9" s="508">
        <v>45291</v>
      </c>
      <c r="G9" s="508">
        <v>45382</v>
      </c>
      <c r="H9" s="508">
        <v>45473</v>
      </c>
      <c r="I9" s="508">
        <v>45565</v>
      </c>
      <c r="J9" s="508">
        <v>45657</v>
      </c>
      <c r="K9" s="508">
        <v>45747</v>
      </c>
      <c r="L9" s="508">
        <v>45838</v>
      </c>
      <c r="M9" s="521">
        <v>45930</v>
      </c>
      <c r="N9" s="509">
        <v>46022</v>
      </c>
    </row>
    <row r="10" spans="1:21" s="25" customFormat="1" ht="20.25" customHeight="1" x14ac:dyDescent="0.4">
      <c r="B10" s="510" t="s">
        <v>104</v>
      </c>
      <c r="C10" s="504"/>
      <c r="D10" s="504"/>
      <c r="E10" s="511"/>
      <c r="F10" s="504"/>
      <c r="G10" s="504"/>
      <c r="H10" s="511"/>
      <c r="I10" s="511"/>
      <c r="J10" s="511"/>
      <c r="K10" s="511"/>
      <c r="L10" s="511"/>
      <c r="M10" s="932"/>
      <c r="N10" s="512"/>
      <c r="Q10" s="675"/>
    </row>
    <row r="11" spans="1:21" s="25" customFormat="1" ht="20.25" customHeight="1" x14ac:dyDescent="0.4">
      <c r="B11" s="513" t="s">
        <v>237</v>
      </c>
      <c r="C11" s="504">
        <v>20383.713875636407</v>
      </c>
      <c r="D11" s="504">
        <v>21105.375983716935</v>
      </c>
      <c r="E11" s="511">
        <v>21515.487456171279</v>
      </c>
      <c r="F11" s="504">
        <v>22337.0366032124</v>
      </c>
      <c r="G11" s="504">
        <v>22236.156401214306</v>
      </c>
      <c r="H11" s="511">
        <v>23518.711968549593</v>
      </c>
      <c r="I11" s="511">
        <v>24205.606308614799</v>
      </c>
      <c r="J11" s="511">
        <v>25894.374609311682</v>
      </c>
      <c r="K11" s="511">
        <v>27064.902322824008</v>
      </c>
      <c r="L11" s="511">
        <v>28094.1094193032</v>
      </c>
      <c r="M11" s="932">
        <v>28907.397334558707</v>
      </c>
      <c r="N11" s="512">
        <v>29430.246784324205</v>
      </c>
      <c r="P11" s="48"/>
      <c r="Q11" s="674"/>
      <c r="R11" s="48"/>
      <c r="S11" s="48"/>
      <c r="T11" s="48"/>
    </row>
    <row r="12" spans="1:21" s="25" customFormat="1" ht="20.25" customHeight="1" x14ac:dyDescent="0.4">
      <c r="B12" s="514" t="s">
        <v>238</v>
      </c>
      <c r="C12" s="505">
        <f t="shared" ref="C12:L12" si="0">C11-C13-C14-C15</f>
        <v>9281.8161640464004</v>
      </c>
      <c r="D12" s="505">
        <f t="shared" si="0"/>
        <v>9745.6582291369305</v>
      </c>
      <c r="E12" s="515">
        <f t="shared" si="0"/>
        <v>10065.280643251277</v>
      </c>
      <c r="F12" s="505">
        <f t="shared" si="0"/>
        <v>10523.980135152398</v>
      </c>
      <c r="G12" s="505">
        <f t="shared" si="0"/>
        <v>10581.835123744306</v>
      </c>
      <c r="H12" s="515">
        <f t="shared" si="0"/>
        <v>11033.950242489589</v>
      </c>
      <c r="I12" s="515">
        <f t="shared" si="0"/>
        <v>11842.633778324784</v>
      </c>
      <c r="J12" s="515">
        <f t="shared" si="0"/>
        <v>13025.036070451675</v>
      </c>
      <c r="K12" s="515">
        <f t="shared" si="0"/>
        <v>14162.677626104012</v>
      </c>
      <c r="L12" s="515">
        <f t="shared" si="0"/>
        <v>14733.919758007816</v>
      </c>
      <c r="M12" s="933">
        <f t="shared" ref="M12" si="1">M11-M13-M14-M15</f>
        <v>15513.730288948709</v>
      </c>
      <c r="N12" s="516">
        <f>N11-N13-N14-N15</f>
        <v>15613.773004594201</v>
      </c>
      <c r="P12" s="48"/>
      <c r="Q12" s="48"/>
      <c r="R12" s="48"/>
      <c r="S12" s="674"/>
      <c r="T12" s="48"/>
      <c r="U12" s="674"/>
    </row>
    <row r="13" spans="1:21" s="25" customFormat="1" ht="20.25" customHeight="1" x14ac:dyDescent="0.4">
      <c r="B13" s="514" t="s">
        <v>519</v>
      </c>
      <c r="C13" s="505">
        <v>6694.1187481200059</v>
      </c>
      <c r="D13" s="505">
        <v>6832.391938460004</v>
      </c>
      <c r="E13" s="515">
        <v>6796.5263917200018</v>
      </c>
      <c r="F13" s="505">
        <v>7081.0268142800005</v>
      </c>
      <c r="G13" s="505">
        <v>6887.6299575700004</v>
      </c>
      <c r="H13" s="515">
        <v>7189.9548364700013</v>
      </c>
      <c r="I13" s="515">
        <v>7159.8794932700157</v>
      </c>
      <c r="J13" s="515">
        <v>7315.2876372000082</v>
      </c>
      <c r="K13" s="515">
        <v>7427.3356251599962</v>
      </c>
      <c r="L13" s="515">
        <v>7714.6949108053868</v>
      </c>
      <c r="M13" s="933">
        <v>7573.3980849599984</v>
      </c>
      <c r="N13" s="516">
        <v>7724.573088920004</v>
      </c>
      <c r="P13" s="48"/>
      <c r="Q13" s="48"/>
      <c r="R13" s="48"/>
      <c r="T13" s="48"/>
      <c r="U13" s="76"/>
    </row>
    <row r="14" spans="1:21" s="25" customFormat="1" ht="20.25" customHeight="1" x14ac:dyDescent="0.4">
      <c r="B14" s="514" t="s">
        <v>98</v>
      </c>
      <c r="C14" s="505">
        <v>2407.4997594500005</v>
      </c>
      <c r="D14" s="505">
        <v>2344.1885000699999</v>
      </c>
      <c r="E14" s="515">
        <v>2455.9835172100002</v>
      </c>
      <c r="F14" s="505">
        <v>2476.2879172100002</v>
      </c>
      <c r="G14" s="505">
        <v>2525.2433058999995</v>
      </c>
      <c r="H14" s="515">
        <v>2990.9356095900002</v>
      </c>
      <c r="I14" s="515">
        <v>2911.2199500799993</v>
      </c>
      <c r="J14" s="515">
        <v>3079.1959298500001</v>
      </c>
      <c r="K14" s="515">
        <v>3071.9958869899997</v>
      </c>
      <c r="L14" s="515">
        <v>3148.9544836599998</v>
      </c>
      <c r="M14" s="933">
        <v>3344.7782790299998</v>
      </c>
      <c r="N14" s="516">
        <v>3428.14017552</v>
      </c>
      <c r="P14" s="48"/>
      <c r="Q14" s="48"/>
      <c r="R14" s="48"/>
      <c r="S14" s="48"/>
      <c r="T14" s="48"/>
    </row>
    <row r="15" spans="1:21" s="25" customFormat="1" ht="20.25" customHeight="1" x14ac:dyDescent="0.4">
      <c r="B15" s="514" t="s">
        <v>97</v>
      </c>
      <c r="C15" s="505">
        <v>2000.2792040200002</v>
      </c>
      <c r="D15" s="505">
        <v>2183.1373160499993</v>
      </c>
      <c r="E15" s="515">
        <v>2197.6969039899996</v>
      </c>
      <c r="F15" s="505">
        <v>2255.7417365699998</v>
      </c>
      <c r="G15" s="505">
        <v>2241.4480140000005</v>
      </c>
      <c r="H15" s="515">
        <v>2303.8712800000012</v>
      </c>
      <c r="I15" s="515">
        <v>2291.8730869399997</v>
      </c>
      <c r="J15" s="515">
        <v>2474.8549718099994</v>
      </c>
      <c r="K15" s="515">
        <v>2402.8931845700008</v>
      </c>
      <c r="L15" s="515">
        <v>2496.5402668299989</v>
      </c>
      <c r="M15" s="933">
        <v>2475.4906816200005</v>
      </c>
      <c r="N15" s="516">
        <v>2663.7605152900005</v>
      </c>
      <c r="P15" s="48"/>
      <c r="Q15" s="48"/>
      <c r="R15" s="48"/>
      <c r="S15" s="48"/>
      <c r="T15" s="48"/>
    </row>
    <row r="16" spans="1:21" s="25" customFormat="1" ht="20.25" customHeight="1" x14ac:dyDescent="0.4">
      <c r="B16" s="513" t="s">
        <v>239</v>
      </c>
      <c r="C16" s="504">
        <f t="shared" ref="C16:L16" si="2">+C17+C18</f>
        <v>7964.6417155700037</v>
      </c>
      <c r="D16" s="504">
        <f t="shared" si="2"/>
        <v>7882.2077686799548</v>
      </c>
      <c r="E16" s="511">
        <f t="shared" si="2"/>
        <v>7836.4035779199885</v>
      </c>
      <c r="F16" s="504">
        <f t="shared" si="2"/>
        <v>7796.9199076700161</v>
      </c>
      <c r="G16" s="504">
        <f t="shared" si="2"/>
        <v>7756.5411244300494</v>
      </c>
      <c r="H16" s="511">
        <f t="shared" si="2"/>
        <v>7767.6559861499918</v>
      </c>
      <c r="I16" s="511">
        <f t="shared" si="2"/>
        <v>7781.3331347799849</v>
      </c>
      <c r="J16" s="511">
        <f t="shared" si="2"/>
        <v>7821.979095760119</v>
      </c>
      <c r="K16" s="511">
        <f t="shared" si="2"/>
        <v>7713.8358623999293</v>
      </c>
      <c r="L16" s="511">
        <f t="shared" si="2"/>
        <v>7788.4076361298921</v>
      </c>
      <c r="M16" s="932">
        <f t="shared" ref="M16" si="3">+M17+M18</f>
        <v>7868.1263765099648</v>
      </c>
      <c r="N16" s="512">
        <f>+N17+N18</f>
        <v>7905.1636080099643</v>
      </c>
      <c r="P16" s="48"/>
      <c r="Q16" s="48"/>
      <c r="R16" s="48"/>
      <c r="S16" s="48"/>
      <c r="T16" s="48"/>
    </row>
    <row r="17" spans="2:20" s="25" customFormat="1" ht="20.25" customHeight="1" x14ac:dyDescent="0.4">
      <c r="B17" s="514" t="s">
        <v>99</v>
      </c>
      <c r="C17" s="505">
        <v>6359.2653837400221</v>
      </c>
      <c r="D17" s="505">
        <v>6261.5478573899682</v>
      </c>
      <c r="E17" s="515">
        <v>6196.5699702999837</v>
      </c>
      <c r="F17" s="505">
        <v>6202.9458829600107</v>
      </c>
      <c r="G17" s="505">
        <v>6161.187211230028</v>
      </c>
      <c r="H17" s="515">
        <v>6132.6417113399948</v>
      </c>
      <c r="I17" s="515">
        <v>6120.0250055500019</v>
      </c>
      <c r="J17" s="515">
        <v>6097.4436284701369</v>
      </c>
      <c r="K17" s="515">
        <v>6020.0994846799322</v>
      </c>
      <c r="L17" s="515">
        <v>6037.7343134299117</v>
      </c>
      <c r="M17" s="933">
        <v>6076.6076236299723</v>
      </c>
      <c r="N17" s="516">
        <v>6156.6540641699848</v>
      </c>
      <c r="P17" s="48"/>
      <c r="Q17" s="674"/>
      <c r="R17" s="48"/>
      <c r="S17" s="48"/>
      <c r="T17" s="48"/>
    </row>
    <row r="18" spans="2:20" s="25" customFormat="1" ht="20.25" customHeight="1" x14ac:dyDescent="0.4">
      <c r="B18" s="514" t="s">
        <v>111</v>
      </c>
      <c r="C18" s="505">
        <v>1605.3763318299812</v>
      </c>
      <c r="D18" s="505">
        <v>1620.6599112899867</v>
      </c>
      <c r="E18" s="515">
        <v>1639.8336076200046</v>
      </c>
      <c r="F18" s="505">
        <v>1593.9740247100056</v>
      </c>
      <c r="G18" s="505">
        <v>1595.3539132000217</v>
      </c>
      <c r="H18" s="515">
        <v>1635.0142748099968</v>
      </c>
      <c r="I18" s="515">
        <v>1661.308129229983</v>
      </c>
      <c r="J18" s="515">
        <v>1724.5354672899823</v>
      </c>
      <c r="K18" s="515">
        <v>1693.7363777199971</v>
      </c>
      <c r="L18" s="515">
        <v>1750.6733226999809</v>
      </c>
      <c r="M18" s="933">
        <v>1791.5187528799929</v>
      </c>
      <c r="N18" s="516">
        <v>1748.5095438399796</v>
      </c>
      <c r="P18" s="48"/>
      <c r="Q18" s="48"/>
      <c r="R18" s="48"/>
      <c r="T18" s="48"/>
    </row>
    <row r="19" spans="2:20" s="25" customFormat="1" ht="20.25" customHeight="1" x14ac:dyDescent="0.4">
      <c r="B19" s="513" t="s">
        <v>118</v>
      </c>
      <c r="C19" s="504">
        <v>6034.0444514236096</v>
      </c>
      <c r="D19" s="504">
        <v>5951.678018693071</v>
      </c>
      <c r="E19" s="511">
        <v>5900.8357836587293</v>
      </c>
      <c r="F19" s="504">
        <v>5984.423639567588</v>
      </c>
      <c r="G19" s="504">
        <v>5902.6959318857143</v>
      </c>
      <c r="H19" s="511">
        <v>5848.6639154404074</v>
      </c>
      <c r="I19" s="511">
        <v>5787.4663144752458</v>
      </c>
      <c r="J19" s="511">
        <v>5721.6914667183264</v>
      </c>
      <c r="K19" s="511">
        <f>'Loan portfolio quality'!K12</f>
        <v>5656.0063548559601</v>
      </c>
      <c r="L19" s="511">
        <v>5572.9545994468099</v>
      </c>
      <c r="M19" s="932">
        <v>5495.3634939712865</v>
      </c>
      <c r="N19" s="512">
        <v>5457.6334269657673</v>
      </c>
      <c r="P19" s="48"/>
      <c r="Q19" s="48"/>
      <c r="R19" s="48"/>
      <c r="T19" s="48"/>
    </row>
    <row r="20" spans="2:20" s="25" customFormat="1" ht="20.25" customHeight="1" x14ac:dyDescent="0.4">
      <c r="B20" s="513" t="s">
        <v>74</v>
      </c>
      <c r="C20" s="504">
        <f t="shared" ref="C20:L20" si="4">+C11+C16+C19</f>
        <v>34382.400042630019</v>
      </c>
      <c r="D20" s="504">
        <f t="shared" si="4"/>
        <v>34939.261771089958</v>
      </c>
      <c r="E20" s="511">
        <f t="shared" si="4"/>
        <v>35252.726817749994</v>
      </c>
      <c r="F20" s="504">
        <f t="shared" si="4"/>
        <v>36118.380150450008</v>
      </c>
      <c r="G20" s="504">
        <f t="shared" si="4"/>
        <v>35895.393457530066</v>
      </c>
      <c r="H20" s="511">
        <f t="shared" si="4"/>
        <v>37135.031870139996</v>
      </c>
      <c r="I20" s="511">
        <f t="shared" si="4"/>
        <v>37774.40575787003</v>
      </c>
      <c r="J20" s="511">
        <f t="shared" si="4"/>
        <v>39438.045171790131</v>
      </c>
      <c r="K20" s="511">
        <f t="shared" si="4"/>
        <v>40434.744540079897</v>
      </c>
      <c r="L20" s="511">
        <f t="shared" si="4"/>
        <v>41455.471654879904</v>
      </c>
      <c r="M20" s="932">
        <f t="shared" ref="M20" si="5">+M11+M16+M19</f>
        <v>42270.887205039959</v>
      </c>
      <c r="N20" s="512">
        <f>+N11+N16+N19</f>
        <v>42793.043819299935</v>
      </c>
      <c r="P20" s="48"/>
      <c r="Q20" s="48"/>
      <c r="R20" s="48"/>
      <c r="T20" s="48"/>
    </row>
    <row r="21" spans="2:20" s="25" customFormat="1" ht="20.25" customHeight="1" x14ac:dyDescent="0.4">
      <c r="B21" s="513"/>
      <c r="C21" s="504"/>
      <c r="D21" s="504"/>
      <c r="E21" s="511"/>
      <c r="F21" s="504"/>
      <c r="G21" s="504"/>
      <c r="H21" s="511"/>
      <c r="I21" s="511"/>
      <c r="J21" s="511"/>
      <c r="K21" s="511"/>
      <c r="L21" s="511"/>
      <c r="M21" s="932"/>
      <c r="N21" s="512"/>
      <c r="S21" s="48"/>
    </row>
    <row r="22" spans="2:20" s="25" customFormat="1" ht="20.25" customHeight="1" x14ac:dyDescent="0.4">
      <c r="B22" s="510" t="s">
        <v>100</v>
      </c>
      <c r="C22" s="505"/>
      <c r="D22" s="505"/>
      <c r="E22" s="515"/>
      <c r="F22" s="505"/>
      <c r="G22" s="505"/>
      <c r="H22" s="515"/>
      <c r="I22" s="515"/>
      <c r="J22" s="515"/>
      <c r="K22" s="515"/>
      <c r="L22" s="515"/>
      <c r="M22" s="933"/>
      <c r="N22" s="516"/>
      <c r="R22" s="48"/>
    </row>
    <row r="23" spans="2:20" s="25" customFormat="1" ht="20.25" customHeight="1" x14ac:dyDescent="0.4">
      <c r="B23" s="514" t="s">
        <v>101</v>
      </c>
      <c r="C23" s="505">
        <v>3326</v>
      </c>
      <c r="D23" s="505">
        <v>3347</v>
      </c>
      <c r="E23" s="515">
        <v>3226</v>
      </c>
      <c r="F23" s="505">
        <v>3297.2258022699971</v>
      </c>
      <c r="G23" s="505">
        <v>2939.058291159999</v>
      </c>
      <c r="H23" s="515">
        <v>3268.3964427200003</v>
      </c>
      <c r="I23" s="515">
        <v>3100</v>
      </c>
      <c r="J23" s="515">
        <v>3397</v>
      </c>
      <c r="K23" s="515">
        <v>3759.4318745299997</v>
      </c>
      <c r="L23" s="515">
        <v>3830.3696281800035</v>
      </c>
      <c r="M23" s="933">
        <v>3795.1478736299969</v>
      </c>
      <c r="N23" s="516">
        <v>3598.8463662800018</v>
      </c>
      <c r="P23" s="48"/>
      <c r="Q23" s="48"/>
      <c r="R23" s="48"/>
      <c r="T23" s="48"/>
    </row>
    <row r="24" spans="2:20" s="25" customFormat="1" ht="20.25" customHeight="1" x14ac:dyDescent="0.4">
      <c r="B24" s="514" t="s">
        <v>102</v>
      </c>
      <c r="C24" s="505">
        <v>2116</v>
      </c>
      <c r="D24" s="505">
        <v>2265</v>
      </c>
      <c r="E24" s="515">
        <v>2246</v>
      </c>
      <c r="F24" s="505">
        <v>2291.2853722699997</v>
      </c>
      <c r="G24" s="505">
        <v>2333.9914161099987</v>
      </c>
      <c r="H24" s="515">
        <v>2353.6150409099992</v>
      </c>
      <c r="I24" s="515">
        <v>2572</v>
      </c>
      <c r="J24" s="515">
        <v>2571</v>
      </c>
      <c r="K24" s="515">
        <v>3014.2902558699993</v>
      </c>
      <c r="L24" s="515">
        <v>3062.8191162099993</v>
      </c>
      <c r="M24" s="933">
        <v>3074.1231921700014</v>
      </c>
      <c r="N24" s="516">
        <v>3347.3500091000005</v>
      </c>
      <c r="P24" s="48"/>
      <c r="Q24" s="48"/>
      <c r="R24" s="48"/>
      <c r="T24" s="48"/>
    </row>
    <row r="25" spans="2:20" s="25" customFormat="1" ht="20.25" customHeight="1" x14ac:dyDescent="0.4">
      <c r="B25" s="514" t="s">
        <v>103</v>
      </c>
      <c r="C25" s="505">
        <v>1992</v>
      </c>
      <c r="D25" s="505">
        <v>2109</v>
      </c>
      <c r="E25" s="515">
        <v>2337</v>
      </c>
      <c r="F25" s="505">
        <v>2567.2187595700007</v>
      </c>
      <c r="G25" s="505">
        <v>2538.7364932999999</v>
      </c>
      <c r="H25" s="515">
        <v>2561.7796666800004</v>
      </c>
      <c r="I25" s="515">
        <v>2960</v>
      </c>
      <c r="J25" s="515">
        <v>3104</v>
      </c>
      <c r="K25" s="515">
        <v>3178.8417325199994</v>
      </c>
      <c r="L25" s="515">
        <v>3367.48462763</v>
      </c>
      <c r="M25" s="933">
        <v>3706.7587124200004</v>
      </c>
      <c r="N25" s="516">
        <v>3422.5018948399993</v>
      </c>
      <c r="P25" s="48"/>
      <c r="Q25" s="48"/>
      <c r="R25" s="48"/>
      <c r="T25" s="48"/>
    </row>
    <row r="26" spans="2:20" s="25" customFormat="1" ht="20.25" customHeight="1" x14ac:dyDescent="0.4">
      <c r="B26" s="514" t="s">
        <v>240</v>
      </c>
      <c r="C26" s="505">
        <v>2210</v>
      </c>
      <c r="D26" s="505">
        <v>2413</v>
      </c>
      <c r="E26" s="515">
        <v>2388</v>
      </c>
      <c r="F26" s="505">
        <v>2429.5137425900007</v>
      </c>
      <c r="G26" s="505">
        <v>2551.0763313800035</v>
      </c>
      <c r="H26" s="515">
        <v>2677.5861599699992</v>
      </c>
      <c r="I26" s="515">
        <v>2643</v>
      </c>
      <c r="J26" s="515">
        <v>2486</v>
      </c>
      <c r="K26" s="515">
        <v>2587.1590275400008</v>
      </c>
      <c r="L26" s="515">
        <v>2754.4840170899997</v>
      </c>
      <c r="M26" s="933">
        <v>2676.770706380003</v>
      </c>
      <c r="N26" s="516">
        <v>2637.7810655800022</v>
      </c>
      <c r="P26" s="48"/>
      <c r="Q26" s="48"/>
      <c r="R26" s="48"/>
      <c r="T26" s="48"/>
    </row>
    <row r="27" spans="2:20" s="25" customFormat="1" ht="20.25" customHeight="1" x14ac:dyDescent="0.4">
      <c r="B27" s="514" t="s">
        <v>241</v>
      </c>
      <c r="C27" s="505">
        <v>1921</v>
      </c>
      <c r="D27" s="505">
        <v>1954</v>
      </c>
      <c r="E27" s="515">
        <v>1997</v>
      </c>
      <c r="F27" s="505">
        <v>1956.6577410400005</v>
      </c>
      <c r="G27" s="505">
        <v>1956.5871280899996</v>
      </c>
      <c r="H27" s="515">
        <v>2004.6094873899999</v>
      </c>
      <c r="I27" s="515">
        <v>1943</v>
      </c>
      <c r="J27" s="515">
        <v>2732</v>
      </c>
      <c r="K27" s="515">
        <v>2691.7909181500004</v>
      </c>
      <c r="L27" s="515">
        <v>2708.8150248600004</v>
      </c>
      <c r="M27" s="933">
        <v>2806.3823844000012</v>
      </c>
      <c r="N27" s="516">
        <v>3311.58680056</v>
      </c>
      <c r="P27" s="48"/>
      <c r="Q27" s="48"/>
      <c r="R27" s="48"/>
      <c r="T27" s="48"/>
    </row>
    <row r="28" spans="2:20" s="25" customFormat="1" ht="20.25" customHeight="1" x14ac:dyDescent="0.4">
      <c r="B28" s="514" t="s">
        <v>242</v>
      </c>
      <c r="C28" s="505">
        <v>3247</v>
      </c>
      <c r="D28" s="505">
        <v>3179</v>
      </c>
      <c r="E28" s="515">
        <v>3324</v>
      </c>
      <c r="F28" s="505">
        <v>3354.642989240001</v>
      </c>
      <c r="G28" s="505">
        <v>3493.3578696599993</v>
      </c>
      <c r="H28" s="515">
        <v>3950.9161177400006</v>
      </c>
      <c r="I28" s="515">
        <v>4147</v>
      </c>
      <c r="J28" s="515">
        <v>4231</v>
      </c>
      <c r="K28" s="515">
        <v>4178.137744390001</v>
      </c>
      <c r="L28" s="515">
        <v>4148.5339755700033</v>
      </c>
      <c r="M28" s="933">
        <v>4359.4329048299978</v>
      </c>
      <c r="N28" s="516">
        <v>4430.2597959699988</v>
      </c>
      <c r="P28" s="48"/>
      <c r="Q28" s="48"/>
      <c r="R28" s="48"/>
      <c r="T28" s="48"/>
    </row>
    <row r="29" spans="2:20" s="25" customFormat="1" ht="20.25" customHeight="1" x14ac:dyDescent="0.4">
      <c r="B29" s="514" t="s">
        <v>39</v>
      </c>
      <c r="C29" s="505">
        <f t="shared" ref="C29:L29" si="6">C12+C13+C14-SUM(C23:C28)</f>
        <v>3571.4346716164073</v>
      </c>
      <c r="D29" s="505">
        <f t="shared" si="6"/>
        <v>3655.2386676669339</v>
      </c>
      <c r="E29" s="515">
        <f t="shared" si="6"/>
        <v>3799.7905521812791</v>
      </c>
      <c r="F29" s="505">
        <f t="shared" si="6"/>
        <v>4184.7504596623985</v>
      </c>
      <c r="G29" s="505">
        <f t="shared" si="6"/>
        <v>4181.9008575143034</v>
      </c>
      <c r="H29" s="515">
        <f t="shared" si="6"/>
        <v>4397.9377731395871</v>
      </c>
      <c r="I29" s="515">
        <f t="shared" si="6"/>
        <v>4548.7332216747964</v>
      </c>
      <c r="J29" s="515">
        <f t="shared" si="6"/>
        <v>4898.5196375016822</v>
      </c>
      <c r="K29" s="515">
        <f t="shared" si="6"/>
        <v>5252.3575852540089</v>
      </c>
      <c r="L29" s="515">
        <f t="shared" si="6"/>
        <v>5725.0627629331975</v>
      </c>
      <c r="M29" s="933">
        <f t="shared" ref="M29" si="7">M12+M13+M14-SUM(M23:M28)</f>
        <v>6013.2908791087102</v>
      </c>
      <c r="N29" s="516">
        <f>N12+N13+N14-SUM(N23:N28)</f>
        <v>6018.1603367042007</v>
      </c>
      <c r="P29" s="48"/>
      <c r="Q29" s="48"/>
      <c r="R29" s="48"/>
      <c r="T29" s="48"/>
    </row>
    <row r="30" spans="2:20" s="25" customFormat="1" ht="20.25" customHeight="1" x14ac:dyDescent="0.4">
      <c r="B30" s="513" t="s">
        <v>362</v>
      </c>
      <c r="C30" s="504">
        <f t="shared" ref="C30:L30" si="8">SUM(C23:C29)</f>
        <v>18383.434671616407</v>
      </c>
      <c r="D30" s="504">
        <f t="shared" si="8"/>
        <v>18922.238667666934</v>
      </c>
      <c r="E30" s="511">
        <f t="shared" si="8"/>
        <v>19317.790552181279</v>
      </c>
      <c r="F30" s="504">
        <f t="shared" si="8"/>
        <v>20081.294866642398</v>
      </c>
      <c r="G30" s="504">
        <f t="shared" si="8"/>
        <v>19994.708387214305</v>
      </c>
      <c r="H30" s="511">
        <f t="shared" si="8"/>
        <v>21214.84068854959</v>
      </c>
      <c r="I30" s="511">
        <f t="shared" si="8"/>
        <v>21913.733221674796</v>
      </c>
      <c r="J30" s="511">
        <f t="shared" si="8"/>
        <v>23419.519637501682</v>
      </c>
      <c r="K30" s="511">
        <f t="shared" si="8"/>
        <v>24662.009138254009</v>
      </c>
      <c r="L30" s="511">
        <f t="shared" si="8"/>
        <v>25597.569152473203</v>
      </c>
      <c r="M30" s="932">
        <f t="shared" ref="M30:N30" si="9">SUM(M23:M29)</f>
        <v>26431.906652938709</v>
      </c>
      <c r="N30" s="512">
        <f t="shared" si="9"/>
        <v>26766.486269034205</v>
      </c>
      <c r="P30" s="48"/>
      <c r="Q30" s="48"/>
      <c r="R30" s="48"/>
      <c r="T30" s="48"/>
    </row>
    <row r="31" spans="2:20" s="25" customFormat="1" ht="20.25" customHeight="1" x14ac:dyDescent="0.4">
      <c r="B31" s="517"/>
      <c r="C31" s="518"/>
      <c r="D31" s="518"/>
      <c r="E31" s="519"/>
      <c r="F31" s="518"/>
      <c r="G31" s="518"/>
      <c r="H31" s="519"/>
      <c r="I31" s="519"/>
      <c r="J31" s="519"/>
      <c r="K31" s="519"/>
      <c r="L31" s="519"/>
      <c r="M31" s="689"/>
      <c r="N31" s="520"/>
      <c r="Q31" s="48"/>
      <c r="R31" s="48"/>
    </row>
    <row r="32" spans="2:20" s="26" customFormat="1" ht="11.25" customHeight="1" x14ac:dyDescent="0.4">
      <c r="B32" s="501"/>
      <c r="C32" s="502"/>
      <c r="D32" s="502"/>
      <c r="E32" s="502"/>
      <c r="F32" s="502"/>
      <c r="G32" s="502"/>
      <c r="H32" s="502"/>
      <c r="I32" s="502"/>
      <c r="J32" s="502"/>
      <c r="K32" s="502"/>
      <c r="L32" s="502"/>
      <c r="M32" s="502"/>
      <c r="N32" s="502"/>
      <c r="Q32" s="48"/>
      <c r="R32" s="48"/>
    </row>
    <row r="33" spans="1:15" s="15" customFormat="1" ht="20.25" customHeight="1" x14ac:dyDescent="0.25">
      <c r="B33" s="678" t="s">
        <v>639</v>
      </c>
      <c r="C33" s="506"/>
      <c r="D33" s="506"/>
      <c r="E33" s="503"/>
      <c r="F33" s="503"/>
      <c r="G33" s="503"/>
      <c r="H33" s="503"/>
      <c r="I33" s="503"/>
      <c r="J33" s="503"/>
      <c r="K33" s="503"/>
      <c r="L33" s="503"/>
      <c r="M33" s="503"/>
      <c r="N33" s="503"/>
    </row>
    <row r="34" spans="1:15" s="15" customFormat="1" ht="20.25" customHeight="1" x14ac:dyDescent="0.25">
      <c r="B34" s="678" t="s">
        <v>551</v>
      </c>
      <c r="C34" s="506"/>
      <c r="D34" s="506"/>
      <c r="E34" s="503"/>
      <c r="F34" s="503"/>
      <c r="G34" s="503"/>
      <c r="H34" s="503"/>
      <c r="I34" s="503"/>
      <c r="J34" s="503"/>
      <c r="K34" s="503"/>
      <c r="L34" s="503"/>
      <c r="M34" s="503"/>
      <c r="N34" s="503"/>
    </row>
    <row r="35" spans="1:15" s="22" customFormat="1" ht="11.25" customHeight="1" x14ac:dyDescent="0.2">
      <c r="A35" s="20"/>
      <c r="B35" s="42"/>
    </row>
    <row r="36" spans="1:15" s="22" customFormat="1" ht="21" customHeight="1" x14ac:dyDescent="0.2">
      <c r="A36" s="20"/>
      <c r="B36" s="42"/>
    </row>
    <row r="38" spans="1:15" ht="15" customHeight="1" x14ac:dyDescent="0.2">
      <c r="C38" s="45"/>
      <c r="D38" s="45"/>
      <c r="E38" s="45"/>
      <c r="F38" s="45"/>
      <c r="G38" s="45"/>
      <c r="H38" s="45"/>
      <c r="I38" s="45"/>
      <c r="J38" s="45"/>
      <c r="K38" s="45"/>
      <c r="L38" s="45"/>
      <c r="M38" s="45"/>
      <c r="N38" s="45"/>
      <c r="O38" s="45"/>
    </row>
    <row r="39" spans="1:15" ht="15" customHeight="1" x14ac:dyDescent="0.2">
      <c r="O39" s="22"/>
    </row>
  </sheetData>
  <mergeCells count="1">
    <mergeCell ref="B5:N5"/>
  </mergeCells>
  <hyperlinks>
    <hyperlink ref="N2" location="'Cover '!A1" display="Back to Cover" xr:uid="{74B85B39-0808-422C-BD95-110F6A0F32CD}"/>
  </hyperlinks>
  <printOptions horizontalCentered="1" verticalCentered="1"/>
  <pageMargins left="0" right="0" top="0" bottom="0" header="0" footer="0"/>
  <pageSetup paperSize="8" scale="96" orientation="landscape" r:id="rId1"/>
  <headerFooter alignWithMargins="0"/>
  <ignoredErrors>
    <ignoredError sqref="I29 M29" formula="1"/>
  </ignoredError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oglio5">
    <pageSetUpPr fitToPage="1"/>
  </sheetPr>
  <dimension ref="A1:T81"/>
  <sheetViews>
    <sheetView showGridLines="0" view="pageBreakPreview" zoomScale="85" zoomScaleNormal="90" zoomScaleSheetLayoutView="85" workbookViewId="0">
      <pane xSplit="2" topLeftCell="C1" activePane="topRight" state="frozen"/>
      <selection activeCell="M28" sqref="M28"/>
      <selection pane="topRight" activeCell="B5" sqref="B5:N5"/>
    </sheetView>
  </sheetViews>
  <sheetFormatPr defaultColWidth="9.109375" defaultRowHeight="15" customHeight="1" x14ac:dyDescent="0.2"/>
  <cols>
    <col min="1" max="1" width="2.44140625" style="20" customWidth="1"/>
    <col min="2" max="2" width="61.44140625" style="20" customWidth="1"/>
    <col min="3" max="14" width="14.5546875" style="22" customWidth="1"/>
    <col min="15" max="15" width="2.5546875" style="20" customWidth="1"/>
    <col min="16" max="16384" width="9.109375" style="20"/>
  </cols>
  <sheetData>
    <row r="1" spans="1:19" s="23" customFormat="1" ht="15.75" customHeight="1" x14ac:dyDescent="0.4">
      <c r="B1" s="497"/>
      <c r="C1" s="497"/>
      <c r="D1" s="497"/>
      <c r="E1" s="497"/>
      <c r="F1" s="497"/>
      <c r="G1" s="497"/>
      <c r="H1" s="497"/>
      <c r="I1" s="497"/>
      <c r="J1" s="497"/>
      <c r="K1" s="497"/>
      <c r="L1" s="497"/>
      <c r="M1" s="497"/>
      <c r="N1" s="497"/>
    </row>
    <row r="2" spans="1:19" s="23" customFormat="1" ht="15.75" customHeight="1" x14ac:dyDescent="0.4">
      <c r="B2" s="497"/>
      <c r="C2" s="522"/>
      <c r="D2" s="522"/>
      <c r="E2" s="522"/>
      <c r="F2" s="522"/>
      <c r="G2" s="522"/>
      <c r="H2" s="522"/>
      <c r="I2" s="522"/>
      <c r="J2" s="522"/>
      <c r="K2" s="522"/>
      <c r="L2" s="522"/>
      <c r="M2" s="522"/>
      <c r="N2" s="498" t="s">
        <v>18</v>
      </c>
    </row>
    <row r="3" spans="1:19" s="23" customFormat="1" ht="15.75" customHeight="1" x14ac:dyDescent="0.4">
      <c r="B3" s="497"/>
      <c r="C3" s="497"/>
      <c r="D3" s="497"/>
      <c r="E3" s="497"/>
      <c r="F3" s="497"/>
      <c r="G3" s="497"/>
      <c r="H3" s="497"/>
      <c r="I3" s="497"/>
      <c r="J3" s="497"/>
      <c r="K3" s="497"/>
      <c r="L3" s="497"/>
      <c r="M3" s="497"/>
      <c r="N3" s="497"/>
    </row>
    <row r="4" spans="1:19" s="24" customFormat="1" ht="18" customHeight="1" x14ac:dyDescent="0.35">
      <c r="B4" s="499"/>
      <c r="C4" s="499"/>
      <c r="D4" s="499"/>
      <c r="E4" s="499"/>
      <c r="F4" s="499"/>
      <c r="G4" s="499"/>
      <c r="H4" s="499"/>
      <c r="I4" s="499"/>
      <c r="J4" s="499"/>
      <c r="K4" s="499"/>
      <c r="L4" s="499"/>
      <c r="M4" s="499"/>
      <c r="N4" s="499"/>
    </row>
    <row r="5" spans="1:19" ht="27.6" x14ac:dyDescent="0.2">
      <c r="A5" s="16"/>
      <c r="B5" s="1044" t="s">
        <v>26</v>
      </c>
      <c r="C5" s="1044"/>
      <c r="D5" s="1044"/>
      <c r="E5" s="1044"/>
      <c r="F5" s="1044"/>
      <c r="G5" s="1044"/>
      <c r="H5" s="1044"/>
      <c r="I5" s="1044"/>
      <c r="J5" s="1044"/>
      <c r="K5" s="1044"/>
      <c r="L5" s="1044"/>
      <c r="M5" s="1044"/>
      <c r="N5" s="1044"/>
    </row>
    <row r="6" spans="1:19" ht="9" customHeight="1" x14ac:dyDescent="0.2">
      <c r="A6" s="16"/>
      <c r="B6" s="119"/>
      <c r="C6" s="119"/>
      <c r="D6" s="119"/>
      <c r="E6" s="119"/>
      <c r="F6" s="119"/>
      <c r="G6" s="119"/>
      <c r="H6" s="119"/>
      <c r="I6" s="119"/>
      <c r="J6" s="119"/>
      <c r="K6" s="119"/>
      <c r="L6" s="119"/>
      <c r="M6" s="119"/>
      <c r="N6" s="119"/>
    </row>
    <row r="7" spans="1:19" ht="11.25" customHeight="1" x14ac:dyDescent="0.2">
      <c r="A7" s="18"/>
      <c r="B7" s="454"/>
      <c r="C7" s="454"/>
      <c r="D7" s="454"/>
      <c r="E7" s="454"/>
      <c r="F7" s="454"/>
      <c r="G7" s="454"/>
      <c r="H7" s="454"/>
      <c r="I7" s="454"/>
      <c r="J7" s="454"/>
      <c r="K7" s="454"/>
      <c r="L7" s="454"/>
      <c r="M7" s="454"/>
      <c r="N7" s="432"/>
    </row>
    <row r="8" spans="1:19" s="23" customFormat="1" ht="11.25" customHeight="1" x14ac:dyDescent="0.4">
      <c r="B8" s="497"/>
      <c r="C8" s="500"/>
      <c r="D8" s="500"/>
      <c r="E8" s="500"/>
      <c r="F8" s="500"/>
      <c r="G8" s="500"/>
      <c r="H8" s="500"/>
      <c r="I8" s="500"/>
      <c r="J8" s="500"/>
      <c r="K8" s="500"/>
      <c r="L8" s="500"/>
      <c r="M8" s="500"/>
      <c r="N8" s="529"/>
    </row>
    <row r="9" spans="1:19" s="23" customFormat="1" ht="28.5" customHeight="1" x14ac:dyDescent="0.3">
      <c r="B9" s="507" t="s">
        <v>22</v>
      </c>
      <c r="C9" s="508">
        <v>45016</v>
      </c>
      <c r="D9" s="508">
        <v>45107</v>
      </c>
      <c r="E9" s="508">
        <v>45199</v>
      </c>
      <c r="F9" s="508">
        <v>45291</v>
      </c>
      <c r="G9" s="508">
        <v>45382</v>
      </c>
      <c r="H9" s="508">
        <v>45473</v>
      </c>
      <c r="I9" s="508">
        <v>45565</v>
      </c>
      <c r="J9" s="508">
        <v>45657</v>
      </c>
      <c r="K9" s="508">
        <v>45747</v>
      </c>
      <c r="L9" s="508">
        <v>45838</v>
      </c>
      <c r="M9" s="521">
        <v>45930</v>
      </c>
      <c r="N9" s="509">
        <v>46022</v>
      </c>
    </row>
    <row r="10" spans="1:19" s="25" customFormat="1" ht="20.25" customHeight="1" x14ac:dyDescent="0.4">
      <c r="B10" s="510" t="s">
        <v>243</v>
      </c>
      <c r="C10" s="504"/>
      <c r="D10" s="504"/>
      <c r="E10" s="511"/>
      <c r="F10" s="504"/>
      <c r="G10" s="504"/>
      <c r="H10" s="511"/>
      <c r="I10" s="511"/>
      <c r="J10" s="511"/>
      <c r="K10" s="511"/>
      <c r="L10" s="511"/>
      <c r="M10" s="932"/>
      <c r="N10" s="512"/>
    </row>
    <row r="11" spans="1:19" s="25" customFormat="1" ht="20.25" customHeight="1" x14ac:dyDescent="0.4">
      <c r="B11" s="513" t="s">
        <v>244</v>
      </c>
      <c r="C11" s="504">
        <v>28191.743425110013</v>
      </c>
      <c r="D11" s="504">
        <v>28717.459791850004</v>
      </c>
      <c r="E11" s="511">
        <v>29041.369762400009</v>
      </c>
      <c r="F11" s="504">
        <v>29332.752149729986</v>
      </c>
      <c r="G11" s="504">
        <v>29104.34764885002</v>
      </c>
      <c r="H11" s="511">
        <v>30260.114412570001</v>
      </c>
      <c r="I11" s="511">
        <v>30860.566190650046</v>
      </c>
      <c r="J11" s="511">
        <v>32406.701741850011</v>
      </c>
      <c r="K11" s="511">
        <v>33503.642211149971</v>
      </c>
      <c r="L11" s="511">
        <v>34426.33107261001</v>
      </c>
      <c r="M11" s="932">
        <v>35152.693338639991</v>
      </c>
      <c r="N11" s="512">
        <v>35424.560349679967</v>
      </c>
    </row>
    <row r="12" spans="1:19" s="25" customFormat="1" ht="20.25" customHeight="1" x14ac:dyDescent="0.4">
      <c r="B12" s="514" t="s">
        <v>146</v>
      </c>
      <c r="C12" s="505">
        <v>6034.0444514236096</v>
      </c>
      <c r="D12" s="505">
        <v>5951.678018693071</v>
      </c>
      <c r="E12" s="515">
        <v>5900.8357836587293</v>
      </c>
      <c r="F12" s="505">
        <v>5984.423639567588</v>
      </c>
      <c r="G12" s="505">
        <v>5902.6959318857143</v>
      </c>
      <c r="H12" s="515">
        <v>5848.6639154404074</v>
      </c>
      <c r="I12" s="515">
        <v>5787.4663144752458</v>
      </c>
      <c r="J12" s="515">
        <v>5721.6914667183264</v>
      </c>
      <c r="K12" s="515">
        <v>5656.0063548559601</v>
      </c>
      <c r="L12" s="515">
        <v>5572.9545994468053</v>
      </c>
      <c r="M12" s="933">
        <v>5495.3634939712865</v>
      </c>
      <c r="N12" s="516">
        <v>5457.6334269657673</v>
      </c>
      <c r="R12" s="61"/>
    </row>
    <row r="13" spans="1:19" s="25" customFormat="1" ht="20.25" customHeight="1" x14ac:dyDescent="0.4">
      <c r="B13" s="513" t="s">
        <v>470</v>
      </c>
      <c r="C13" s="504">
        <v>0</v>
      </c>
      <c r="D13" s="504">
        <v>0</v>
      </c>
      <c r="E13" s="511">
        <v>0</v>
      </c>
      <c r="F13" s="504">
        <v>950.67031599999996</v>
      </c>
      <c r="G13" s="504">
        <v>0</v>
      </c>
      <c r="H13" s="511">
        <v>0</v>
      </c>
      <c r="I13" s="511">
        <v>0</v>
      </c>
      <c r="J13" s="511">
        <v>919.36909000000003</v>
      </c>
      <c r="K13" s="511">
        <v>574</v>
      </c>
      <c r="L13" s="511">
        <v>0</v>
      </c>
      <c r="M13" s="932">
        <v>0</v>
      </c>
      <c r="N13" s="512">
        <v>801.49804900000004</v>
      </c>
      <c r="R13" s="48"/>
    </row>
    <row r="14" spans="1:19" s="25" customFormat="1" ht="20.25" customHeight="1" x14ac:dyDescent="0.4">
      <c r="B14" s="530" t="s">
        <v>34</v>
      </c>
      <c r="C14" s="505">
        <v>6756.681081040022</v>
      </c>
      <c r="D14" s="505">
        <v>6518.5449787499683</v>
      </c>
      <c r="E14" s="515">
        <v>6475.5954375099827</v>
      </c>
      <c r="F14" s="505">
        <v>6453.9157924400106</v>
      </c>
      <c r="G14" s="505">
        <v>6425.0518737000284</v>
      </c>
      <c r="H14" s="515">
        <v>6420.1000731399954</v>
      </c>
      <c r="I14" s="515">
        <v>6420.897926210002</v>
      </c>
      <c r="J14" s="515">
        <v>6304.6838923501364</v>
      </c>
      <c r="K14" s="515">
        <v>6251.5761439099315</v>
      </c>
      <c r="L14" s="515">
        <v>6274.607995789911</v>
      </c>
      <c r="M14" s="933">
        <v>6318.8176813299715</v>
      </c>
      <c r="N14" s="516">
        <v>6417.0391611499854</v>
      </c>
    </row>
    <row r="15" spans="1:19" s="25" customFormat="1" ht="20.25" customHeight="1" x14ac:dyDescent="0.4">
      <c r="B15" s="530" t="s">
        <v>35</v>
      </c>
      <c r="C15" s="505">
        <v>1875.528453499981</v>
      </c>
      <c r="D15" s="505">
        <v>1751.8366322199865</v>
      </c>
      <c r="E15" s="515">
        <v>1781.2178743300046</v>
      </c>
      <c r="F15" s="505">
        <v>1661.0325662700056</v>
      </c>
      <c r="G15" s="505">
        <v>1668.6362921200216</v>
      </c>
      <c r="H15" s="515">
        <v>1718.3245322399969</v>
      </c>
      <c r="I15" s="515">
        <v>1754.7797457799829</v>
      </c>
      <c r="J15" s="515">
        <v>1794.6513429899824</v>
      </c>
      <c r="K15" s="515">
        <v>1776.6730569699971</v>
      </c>
      <c r="L15" s="515">
        <v>1840.7506635299808</v>
      </c>
      <c r="M15" s="933">
        <v>1887.754411049993</v>
      </c>
      <c r="N15" s="516">
        <v>1850.2390908299794</v>
      </c>
      <c r="Q15" s="48"/>
    </row>
    <row r="16" spans="1:19" s="25" customFormat="1" ht="20.25" customHeight="1" x14ac:dyDescent="0.4">
      <c r="B16" s="531" t="s">
        <v>245</v>
      </c>
      <c r="C16" s="504">
        <f t="shared" ref="C16:L16" si="0">C14+C15</f>
        <v>8632.209534540003</v>
      </c>
      <c r="D16" s="504">
        <f t="shared" si="0"/>
        <v>8270.3816109699546</v>
      </c>
      <c r="E16" s="511">
        <f t="shared" si="0"/>
        <v>8256.8133118399874</v>
      </c>
      <c r="F16" s="504">
        <f t="shared" si="0"/>
        <v>8114.9483587100167</v>
      </c>
      <c r="G16" s="504">
        <f t="shared" si="0"/>
        <v>8093.68816582005</v>
      </c>
      <c r="H16" s="511">
        <f t="shared" si="0"/>
        <v>8138.4246053799925</v>
      </c>
      <c r="I16" s="511">
        <f t="shared" si="0"/>
        <v>8175.6776719899844</v>
      </c>
      <c r="J16" s="511">
        <f t="shared" si="0"/>
        <v>8099.3352353401187</v>
      </c>
      <c r="K16" s="511">
        <f t="shared" si="0"/>
        <v>8028.249200879929</v>
      </c>
      <c r="L16" s="511">
        <f t="shared" si="0"/>
        <v>8115.3586593198916</v>
      </c>
      <c r="M16" s="932">
        <f t="shared" ref="M16:N16" si="1">M14+M15</f>
        <v>8206.5720923799636</v>
      </c>
      <c r="N16" s="512">
        <f t="shared" si="1"/>
        <v>8267.2782519799657</v>
      </c>
      <c r="S16" s="48"/>
    </row>
    <row r="17" spans="2:20" s="25" customFormat="1" ht="20.25" customHeight="1" x14ac:dyDescent="0.4">
      <c r="B17" s="531" t="s">
        <v>246</v>
      </c>
      <c r="C17" s="504">
        <f t="shared" ref="C17:L17" si="2">C11+C13+C16</f>
        <v>36823.952959650014</v>
      </c>
      <c r="D17" s="504">
        <f t="shared" si="2"/>
        <v>36987.841402819962</v>
      </c>
      <c r="E17" s="511">
        <f t="shared" si="2"/>
        <v>37298.183074239998</v>
      </c>
      <c r="F17" s="504">
        <f t="shared" si="2"/>
        <v>38398.370824440004</v>
      </c>
      <c r="G17" s="504">
        <f t="shared" si="2"/>
        <v>37198.035814670067</v>
      </c>
      <c r="H17" s="511">
        <f t="shared" si="2"/>
        <v>38398.539017949995</v>
      </c>
      <c r="I17" s="511">
        <f t="shared" si="2"/>
        <v>39036.243862640033</v>
      </c>
      <c r="J17" s="511">
        <f>J11+J13+J16</f>
        <v>41425.406067190132</v>
      </c>
      <c r="K17" s="511">
        <f t="shared" si="2"/>
        <v>42105.891412029901</v>
      </c>
      <c r="L17" s="511">
        <f t="shared" si="2"/>
        <v>42541.689731929902</v>
      </c>
      <c r="M17" s="932">
        <f>M11+M13+M16</f>
        <v>43359.265431019958</v>
      </c>
      <c r="N17" s="512">
        <f>N11+N13+N16</f>
        <v>44493.336650659934</v>
      </c>
      <c r="Q17" s="48"/>
      <c r="S17" s="48"/>
    </row>
    <row r="18" spans="2:20" s="25" customFormat="1" ht="20.25" customHeight="1" x14ac:dyDescent="0.4">
      <c r="B18" s="513"/>
      <c r="C18" s="504"/>
      <c r="D18" s="504"/>
      <c r="E18" s="511"/>
      <c r="F18" s="504"/>
      <c r="G18" s="504"/>
      <c r="H18" s="511"/>
      <c r="I18" s="511"/>
      <c r="J18" s="511"/>
      <c r="K18" s="511"/>
      <c r="L18" s="511"/>
      <c r="M18" s="932"/>
      <c r="N18" s="512"/>
      <c r="Q18" s="48"/>
      <c r="R18" s="48"/>
      <c r="S18" s="48"/>
      <c r="T18" s="48"/>
    </row>
    <row r="19" spans="2:20" s="25" customFormat="1" ht="20.25" customHeight="1" x14ac:dyDescent="0.4">
      <c r="B19" s="510" t="s">
        <v>247</v>
      </c>
      <c r="C19" s="504"/>
      <c r="D19" s="504"/>
      <c r="E19" s="511"/>
      <c r="F19" s="504"/>
      <c r="G19" s="504"/>
      <c r="H19" s="511"/>
      <c r="I19" s="511"/>
      <c r="J19" s="511"/>
      <c r="K19" s="511"/>
      <c r="L19" s="511"/>
      <c r="M19" s="932"/>
      <c r="N19" s="512"/>
      <c r="T19" s="48"/>
    </row>
    <row r="20" spans="2:20" s="25" customFormat="1" ht="20.25" customHeight="1" x14ac:dyDescent="0.4">
      <c r="B20" s="513" t="s">
        <v>244</v>
      </c>
      <c r="C20" s="504">
        <v>1180.5564713599993</v>
      </c>
      <c r="D20" s="504">
        <v>985.02013212999987</v>
      </c>
      <c r="E20" s="511">
        <v>1045.8946054600001</v>
      </c>
      <c r="F20" s="504">
        <v>607.30707888999996</v>
      </c>
      <c r="G20" s="504">
        <v>665.6129204099999</v>
      </c>
      <c r="H20" s="511">
        <v>670.83578849999969</v>
      </c>
      <c r="I20" s="511">
        <v>661.12408364000009</v>
      </c>
      <c r="J20" s="511">
        <v>526.84204563000014</v>
      </c>
      <c r="K20" s="511">
        <v>534.04137408999986</v>
      </c>
      <c r="L20" s="511">
        <v>539.45659596999974</v>
      </c>
      <c r="M20" s="932">
        <v>522.09336312999994</v>
      </c>
      <c r="N20" s="512">
        <v>396.12840611000013</v>
      </c>
      <c r="Q20" s="48"/>
    </row>
    <row r="21" spans="2:20" s="25" customFormat="1" ht="20.25" customHeight="1" x14ac:dyDescent="0.4">
      <c r="B21" s="514" t="s">
        <v>28</v>
      </c>
      <c r="C21" s="505">
        <v>263.39582256999995</v>
      </c>
      <c r="D21" s="505">
        <v>130.56384055999999</v>
      </c>
      <c r="E21" s="515">
        <v>155.11272435000001</v>
      </c>
      <c r="F21" s="505">
        <v>139.46051986999998</v>
      </c>
      <c r="G21" s="505">
        <v>158.02156826000004</v>
      </c>
      <c r="H21" s="515">
        <v>186.75315023999994</v>
      </c>
      <c r="I21" s="515">
        <v>197.04557856</v>
      </c>
      <c r="J21" s="515">
        <v>137.09263193300001</v>
      </c>
      <c r="K21" s="515">
        <v>161.63114463999997</v>
      </c>
      <c r="L21" s="515">
        <v>166.12066728999991</v>
      </c>
      <c r="M21" s="933">
        <v>175.77849965999999</v>
      </c>
      <c r="N21" s="516">
        <v>173.39973996000035</v>
      </c>
      <c r="Q21" s="48"/>
    </row>
    <row r="22" spans="2:20" s="25" customFormat="1" ht="20.25" customHeight="1" x14ac:dyDescent="0.4">
      <c r="B22" s="514" t="s">
        <v>29</v>
      </c>
      <c r="C22" s="505">
        <v>224.59155294000024</v>
      </c>
      <c r="D22" s="505">
        <v>93.775955620000033</v>
      </c>
      <c r="E22" s="515">
        <v>105.93434641000003</v>
      </c>
      <c r="F22" s="505">
        <v>43.057630899999999</v>
      </c>
      <c r="G22" s="505">
        <v>51.717519379999992</v>
      </c>
      <c r="H22" s="515">
        <v>63.854707859999991</v>
      </c>
      <c r="I22" s="515">
        <v>72.957795569999988</v>
      </c>
      <c r="J22" s="515">
        <v>53.499823410000012</v>
      </c>
      <c r="K22" s="515">
        <v>66.503563290000002</v>
      </c>
      <c r="L22" s="515">
        <v>74.15329887</v>
      </c>
      <c r="M22" s="933">
        <v>80.106555870000008</v>
      </c>
      <c r="N22" s="516">
        <v>83.253402729999905</v>
      </c>
      <c r="Q22" s="48"/>
    </row>
    <row r="23" spans="2:20" s="25" customFormat="1" ht="20.25" customHeight="1" x14ac:dyDescent="0.4">
      <c r="B23" s="513" t="s">
        <v>248</v>
      </c>
      <c r="C23" s="504">
        <f t="shared" ref="C23:L23" si="3">C21+C22</f>
        <v>487.98737551000022</v>
      </c>
      <c r="D23" s="504">
        <f t="shared" si="3"/>
        <v>224.33979618000001</v>
      </c>
      <c r="E23" s="511">
        <f t="shared" si="3"/>
        <v>261.04707076000005</v>
      </c>
      <c r="F23" s="504">
        <f t="shared" si="3"/>
        <v>182.51815076999998</v>
      </c>
      <c r="G23" s="504">
        <f t="shared" si="3"/>
        <v>209.73908764000004</v>
      </c>
      <c r="H23" s="511">
        <f t="shared" si="3"/>
        <v>250.60785809999993</v>
      </c>
      <c r="I23" s="511">
        <f t="shared" si="3"/>
        <v>270.00337413</v>
      </c>
      <c r="J23" s="511">
        <f t="shared" si="3"/>
        <v>190.59245534300001</v>
      </c>
      <c r="K23" s="511">
        <f t="shared" si="3"/>
        <v>228.13470792999999</v>
      </c>
      <c r="L23" s="511">
        <f t="shared" si="3"/>
        <v>240.27396615999993</v>
      </c>
      <c r="M23" s="932">
        <f t="shared" ref="M23:N23" si="4">M21+M22</f>
        <v>255.88505552999999</v>
      </c>
      <c r="N23" s="512">
        <f t="shared" si="4"/>
        <v>256.65314269000027</v>
      </c>
      <c r="Q23" s="48"/>
    </row>
    <row r="24" spans="2:20" s="25" customFormat="1" ht="20.25" customHeight="1" x14ac:dyDescent="0.4">
      <c r="B24" s="513" t="s">
        <v>249</v>
      </c>
      <c r="C24" s="504">
        <f t="shared" ref="C24:L24" si="5">C20+C23</f>
        <v>1668.5438468699995</v>
      </c>
      <c r="D24" s="504">
        <f t="shared" si="5"/>
        <v>1209.3599283099998</v>
      </c>
      <c r="E24" s="511">
        <f t="shared" si="5"/>
        <v>1306.9416762200001</v>
      </c>
      <c r="F24" s="504">
        <f t="shared" si="5"/>
        <v>789.82522965999988</v>
      </c>
      <c r="G24" s="504">
        <f t="shared" si="5"/>
        <v>875.35200804999999</v>
      </c>
      <c r="H24" s="511">
        <f t="shared" si="5"/>
        <v>921.44364659999962</v>
      </c>
      <c r="I24" s="511">
        <f t="shared" si="5"/>
        <v>931.12745777000009</v>
      </c>
      <c r="J24" s="511">
        <f t="shared" si="5"/>
        <v>717.43450097300013</v>
      </c>
      <c r="K24" s="511">
        <f t="shared" si="5"/>
        <v>762.17608201999985</v>
      </c>
      <c r="L24" s="511">
        <f t="shared" si="5"/>
        <v>779.73056212999973</v>
      </c>
      <c r="M24" s="932">
        <f t="shared" ref="M24:N24" si="6">M20+M23</f>
        <v>777.97841865999999</v>
      </c>
      <c r="N24" s="512">
        <f t="shared" si="6"/>
        <v>652.78154880000034</v>
      </c>
      <c r="Q24" s="48"/>
    </row>
    <row r="25" spans="2:20" s="25" customFormat="1" ht="20.25" customHeight="1" x14ac:dyDescent="0.4">
      <c r="B25" s="513"/>
      <c r="C25" s="504"/>
      <c r="D25" s="504"/>
      <c r="E25" s="511"/>
      <c r="F25" s="504"/>
      <c r="G25" s="504"/>
      <c r="H25" s="511"/>
      <c r="I25" s="511"/>
      <c r="J25" s="511"/>
      <c r="K25" s="511"/>
      <c r="L25" s="511"/>
      <c r="M25" s="932"/>
      <c r="N25" s="512"/>
    </row>
    <row r="26" spans="2:20" s="25" customFormat="1" ht="20.25" customHeight="1" x14ac:dyDescent="0.4">
      <c r="B26" s="510" t="s">
        <v>46</v>
      </c>
      <c r="C26" s="504"/>
      <c r="D26" s="504"/>
      <c r="E26" s="511"/>
      <c r="F26" s="504"/>
      <c r="G26" s="504"/>
      <c r="H26" s="511"/>
      <c r="I26" s="511"/>
      <c r="J26" s="511"/>
      <c r="K26" s="511"/>
      <c r="L26" s="511"/>
      <c r="M26" s="932"/>
      <c r="N26" s="512"/>
    </row>
    <row r="27" spans="2:20" s="25" customFormat="1" ht="20.25" customHeight="1" x14ac:dyDescent="0.4">
      <c r="B27" s="513" t="s">
        <v>244</v>
      </c>
      <c r="C27" s="504">
        <v>1773.9850980499994</v>
      </c>
      <c r="D27" s="504">
        <v>1660.4057894400009</v>
      </c>
      <c r="E27" s="511">
        <v>1625.04652257</v>
      </c>
      <c r="F27" s="504">
        <v>1011.2919069500001</v>
      </c>
      <c r="G27" s="504">
        <v>965.49531574999946</v>
      </c>
      <c r="H27" s="511">
        <v>892.738528580001</v>
      </c>
      <c r="I27" s="511">
        <v>867.49356755999884</v>
      </c>
      <c r="J27" s="511">
        <v>790.63566582000078</v>
      </c>
      <c r="K27" s="511">
        <v>782.73353346999954</v>
      </c>
      <c r="L27" s="511">
        <v>759.26705386000026</v>
      </c>
      <c r="M27" s="932">
        <v>749.93251011000029</v>
      </c>
      <c r="N27" s="512">
        <v>536.68013838999991</v>
      </c>
      <c r="Q27" s="674"/>
      <c r="R27" s="821"/>
    </row>
    <row r="28" spans="2:20" s="25" customFormat="1" ht="20.25" customHeight="1" x14ac:dyDescent="0.4">
      <c r="B28" s="514" t="s">
        <v>520</v>
      </c>
      <c r="C28" s="505">
        <v>397.41569729999986</v>
      </c>
      <c r="D28" s="505">
        <v>256.99712136000011</v>
      </c>
      <c r="E28" s="515">
        <v>279.02546720999993</v>
      </c>
      <c r="F28" s="505">
        <v>250.96990948000004</v>
      </c>
      <c r="G28" s="505">
        <v>263.86466247000004</v>
      </c>
      <c r="H28" s="515">
        <v>287.45836180000003</v>
      </c>
      <c r="I28" s="515">
        <v>300.87292066000009</v>
      </c>
      <c r="J28" s="515">
        <v>207.24026387999976</v>
      </c>
      <c r="K28" s="515">
        <v>231.47665922999977</v>
      </c>
      <c r="L28" s="515">
        <v>236.87368235999992</v>
      </c>
      <c r="M28" s="933">
        <v>242.21005769999994</v>
      </c>
      <c r="N28" s="516">
        <v>260.38509698000007</v>
      </c>
      <c r="Q28" s="984"/>
      <c r="R28" s="821"/>
    </row>
    <row r="29" spans="2:20" s="25" customFormat="1" ht="20.25" customHeight="1" x14ac:dyDescent="0.4">
      <c r="B29" s="514" t="s">
        <v>29</v>
      </c>
      <c r="C29" s="505">
        <v>270.15212166999987</v>
      </c>
      <c r="D29" s="505">
        <v>131.17672092999976</v>
      </c>
      <c r="E29" s="515">
        <v>141.38426670999996</v>
      </c>
      <c r="F29" s="505">
        <v>67.058541560000108</v>
      </c>
      <c r="G29" s="505">
        <v>73.282378920000014</v>
      </c>
      <c r="H29" s="515">
        <v>83.310257430000007</v>
      </c>
      <c r="I29" s="515">
        <v>93.471616549999965</v>
      </c>
      <c r="J29" s="515">
        <v>70.115875700000004</v>
      </c>
      <c r="K29" s="515">
        <v>82.936679249999969</v>
      </c>
      <c r="L29" s="515">
        <v>90.077340829999955</v>
      </c>
      <c r="M29" s="933">
        <v>96.23565817000005</v>
      </c>
      <c r="N29" s="516">
        <v>101.80194143999989</v>
      </c>
      <c r="Q29" s="984"/>
      <c r="R29" s="821"/>
    </row>
    <row r="30" spans="2:20" s="25" customFormat="1" ht="20.25" customHeight="1" x14ac:dyDescent="0.4">
      <c r="B30" s="513" t="s">
        <v>248</v>
      </c>
      <c r="C30" s="504">
        <f t="shared" ref="C30:L30" si="7">C28+C29</f>
        <v>667.56781896999973</v>
      </c>
      <c r="D30" s="504">
        <f t="shared" si="7"/>
        <v>388.17384228999987</v>
      </c>
      <c r="E30" s="511">
        <f t="shared" si="7"/>
        <v>420.40973391999989</v>
      </c>
      <c r="F30" s="504">
        <f t="shared" si="7"/>
        <v>318.02845104000016</v>
      </c>
      <c r="G30" s="504">
        <f t="shared" si="7"/>
        <v>337.14704139000003</v>
      </c>
      <c r="H30" s="511">
        <f t="shared" si="7"/>
        <v>370.76861923000001</v>
      </c>
      <c r="I30" s="511">
        <f t="shared" si="7"/>
        <v>394.34453721000006</v>
      </c>
      <c r="J30" s="511">
        <f t="shared" si="7"/>
        <v>277.35613957999976</v>
      </c>
      <c r="K30" s="511">
        <f t="shared" si="7"/>
        <v>314.41333847999977</v>
      </c>
      <c r="L30" s="511">
        <f t="shared" si="7"/>
        <v>326.95102318999989</v>
      </c>
      <c r="M30" s="932">
        <f t="shared" ref="M30:N30" si="8">M28+M29</f>
        <v>338.44571586999996</v>
      </c>
      <c r="N30" s="512">
        <f t="shared" si="8"/>
        <v>362.18703841999996</v>
      </c>
      <c r="Q30" s="821"/>
      <c r="R30" s="821"/>
    </row>
    <row r="31" spans="2:20" s="25" customFormat="1" ht="20.25" customHeight="1" x14ac:dyDescent="0.4">
      <c r="B31" s="513" t="s">
        <v>249</v>
      </c>
      <c r="C31" s="504">
        <f t="shared" ref="C31:L31" si="9">C27+C30</f>
        <v>2441.5529170199989</v>
      </c>
      <c r="D31" s="504">
        <f t="shared" si="9"/>
        <v>2048.579631730001</v>
      </c>
      <c r="E31" s="511">
        <f t="shared" si="9"/>
        <v>2045.4562564899998</v>
      </c>
      <c r="F31" s="504">
        <f t="shared" si="9"/>
        <v>1329.3203579900003</v>
      </c>
      <c r="G31" s="504">
        <f t="shared" si="9"/>
        <v>1302.6423571399996</v>
      </c>
      <c r="H31" s="511">
        <f t="shared" si="9"/>
        <v>1263.507147810001</v>
      </c>
      <c r="I31" s="511">
        <f t="shared" si="9"/>
        <v>1261.8381047699988</v>
      </c>
      <c r="J31" s="511">
        <f t="shared" si="9"/>
        <v>1067.9918054000004</v>
      </c>
      <c r="K31" s="511">
        <f t="shared" si="9"/>
        <v>1097.1468719499994</v>
      </c>
      <c r="L31" s="511">
        <f t="shared" si="9"/>
        <v>1086.2180770500001</v>
      </c>
      <c r="M31" s="932">
        <f>M27+M30</f>
        <v>1088.3782259800003</v>
      </c>
      <c r="N31" s="512">
        <f>N27+N30</f>
        <v>898.86717680999982</v>
      </c>
      <c r="Q31" s="821"/>
      <c r="R31" s="821"/>
    </row>
    <row r="32" spans="2:20" s="25" customFormat="1" ht="20.25" customHeight="1" x14ac:dyDescent="0.4">
      <c r="B32" s="513"/>
      <c r="C32" s="504"/>
      <c r="D32" s="504"/>
      <c r="E32" s="511"/>
      <c r="F32" s="504"/>
      <c r="G32" s="504"/>
      <c r="H32" s="511"/>
      <c r="I32" s="511"/>
      <c r="J32" s="511"/>
      <c r="K32" s="511"/>
      <c r="L32" s="511"/>
      <c r="M32" s="932"/>
      <c r="N32" s="512"/>
    </row>
    <row r="33" spans="2:17" s="25" customFormat="1" ht="20.25" hidden="1" customHeight="1" x14ac:dyDescent="0.4">
      <c r="B33" s="513"/>
      <c r="C33" s="504"/>
      <c r="D33" s="504"/>
      <c r="E33" s="511"/>
      <c r="F33" s="504"/>
      <c r="G33" s="504"/>
      <c r="H33" s="511"/>
      <c r="I33" s="511"/>
      <c r="J33" s="511"/>
      <c r="K33" s="511"/>
      <c r="L33" s="511"/>
      <c r="M33" s="932"/>
      <c r="N33" s="512"/>
    </row>
    <row r="34" spans="2:17" s="25" customFormat="1" ht="20.25" hidden="1" customHeight="1" x14ac:dyDescent="0.4">
      <c r="B34" s="513"/>
      <c r="C34" s="504"/>
      <c r="D34" s="504"/>
      <c r="E34" s="511"/>
      <c r="F34" s="504"/>
      <c r="G34" s="504"/>
      <c r="H34" s="511"/>
      <c r="I34" s="511"/>
      <c r="J34" s="511"/>
      <c r="K34" s="511"/>
      <c r="L34" s="511"/>
      <c r="M34" s="932"/>
      <c r="N34" s="512"/>
    </row>
    <row r="35" spans="2:17" s="25" customFormat="1" ht="20.25" customHeight="1" x14ac:dyDescent="0.4">
      <c r="B35" s="510" t="s">
        <v>30</v>
      </c>
      <c r="C35" s="504"/>
      <c r="D35" s="504"/>
      <c r="E35" s="511"/>
      <c r="F35" s="504"/>
      <c r="G35" s="504"/>
      <c r="H35" s="511"/>
      <c r="I35" s="511"/>
      <c r="J35" s="511"/>
      <c r="K35" s="511"/>
      <c r="L35" s="511"/>
      <c r="M35" s="932"/>
      <c r="N35" s="512"/>
    </row>
    <row r="36" spans="2:17" s="25" customFormat="1" ht="21" customHeight="1" x14ac:dyDescent="0.4">
      <c r="B36" s="513" t="s">
        <v>244</v>
      </c>
      <c r="C36" s="504">
        <v>1059.972212671262</v>
      </c>
      <c r="D36" s="504">
        <v>1000.017739251538</v>
      </c>
      <c r="E36" s="511">
        <v>998.11833876000003</v>
      </c>
      <c r="F36" s="504">
        <v>697.42609226714399</v>
      </c>
      <c r="G36" s="504">
        <v>656.85700860117151</v>
      </c>
      <c r="H36" s="511">
        <v>609.20935852408843</v>
      </c>
      <c r="I36" s="511">
        <v>622.1248495711111</v>
      </c>
      <c r="J36" s="511">
        <v>565.44983304000004</v>
      </c>
      <c r="K36" s="511">
        <v>557.13940649055905</v>
      </c>
      <c r="L36" s="511">
        <v>543.02104174999988</v>
      </c>
      <c r="M36" s="932">
        <v>543.61510019674643</v>
      </c>
      <c r="N36" s="512">
        <v>403.80074195999987</v>
      </c>
    </row>
    <row r="37" spans="2:17" s="25" customFormat="1" ht="21" customHeight="1" x14ac:dyDescent="0.4">
      <c r="B37" s="514" t="s">
        <v>28</v>
      </c>
      <c r="C37" s="505">
        <v>89.259121989929753</v>
      </c>
      <c r="D37" s="505">
        <v>47.792738938082771</v>
      </c>
      <c r="E37" s="515">
        <v>50.083827849999992</v>
      </c>
      <c r="F37" s="505">
        <v>42.180639089449983</v>
      </c>
      <c r="G37" s="505">
        <v>43.512418448261407</v>
      </c>
      <c r="H37" s="515">
        <v>45.713071716575037</v>
      </c>
      <c r="I37" s="515">
        <v>55.936792924692575</v>
      </c>
      <c r="J37" s="515">
        <v>42.512353659999995</v>
      </c>
      <c r="K37" s="515">
        <v>54.841405027930257</v>
      </c>
      <c r="L37" s="515">
        <v>98.731506040000014</v>
      </c>
      <c r="M37" s="933">
        <v>147.06504559067182</v>
      </c>
      <c r="N37" s="516">
        <v>213.92949686</v>
      </c>
    </row>
    <row r="38" spans="2:17" s="25" customFormat="1" ht="21" customHeight="1" x14ac:dyDescent="0.4">
      <c r="B38" s="514" t="s">
        <v>29</v>
      </c>
      <c r="C38" s="505">
        <v>210.50448347320943</v>
      </c>
      <c r="D38" s="505">
        <v>116.17888437747696</v>
      </c>
      <c r="E38" s="515">
        <v>123.69489336000001</v>
      </c>
      <c r="F38" s="505">
        <v>79.444530437009149</v>
      </c>
      <c r="G38" s="505">
        <v>83.5766080267787</v>
      </c>
      <c r="H38" s="515">
        <v>88.190032037026569</v>
      </c>
      <c r="I38" s="515">
        <v>96.279492336131057</v>
      </c>
      <c r="J38" s="515">
        <v>83.134338650000004</v>
      </c>
      <c r="K38" s="515">
        <v>92.698054589926684</v>
      </c>
      <c r="L38" s="515">
        <v>95.049417260000013</v>
      </c>
      <c r="M38" s="933">
        <v>100.1490509852617</v>
      </c>
      <c r="N38" s="516">
        <v>119.47433589999999</v>
      </c>
    </row>
    <row r="39" spans="2:17" s="25" customFormat="1" ht="21" customHeight="1" x14ac:dyDescent="0.4">
      <c r="B39" s="513" t="s">
        <v>248</v>
      </c>
      <c r="C39" s="504">
        <v>299.76360546313919</v>
      </c>
      <c r="D39" s="504">
        <v>163.97162331555973</v>
      </c>
      <c r="E39" s="511">
        <v>173.77872121000001</v>
      </c>
      <c r="F39" s="504">
        <v>121.62516952645913</v>
      </c>
      <c r="G39" s="504">
        <v>127.0890264750401</v>
      </c>
      <c r="H39" s="511">
        <v>133.90310375360161</v>
      </c>
      <c r="I39" s="511">
        <v>152.21628526082364</v>
      </c>
      <c r="J39" s="511">
        <v>125.64669230999999</v>
      </c>
      <c r="K39" s="511">
        <v>147.53945961785695</v>
      </c>
      <c r="L39" s="511">
        <v>193.78092330000004</v>
      </c>
      <c r="M39" s="932">
        <v>247.21409657593352</v>
      </c>
      <c r="N39" s="512">
        <v>333.40383276</v>
      </c>
    </row>
    <row r="40" spans="2:17" s="25" customFormat="1" ht="21" customHeight="1" x14ac:dyDescent="0.4">
      <c r="B40" s="513" t="s">
        <v>250</v>
      </c>
      <c r="C40" s="511">
        <f t="shared" ref="C40:L40" si="10">C36+C39</f>
        <v>1359.7358181344011</v>
      </c>
      <c r="D40" s="504">
        <f t="shared" si="10"/>
        <v>1163.9893625670977</v>
      </c>
      <c r="E40" s="511">
        <f t="shared" si="10"/>
        <v>1171.8970599700001</v>
      </c>
      <c r="F40" s="504">
        <f t="shared" si="10"/>
        <v>819.05126179360309</v>
      </c>
      <c r="G40" s="504">
        <f t="shared" si="10"/>
        <v>783.94603507621161</v>
      </c>
      <c r="H40" s="511">
        <f t="shared" si="10"/>
        <v>743.11246227769004</v>
      </c>
      <c r="I40" s="511">
        <f t="shared" si="10"/>
        <v>774.34113483193471</v>
      </c>
      <c r="J40" s="511">
        <f t="shared" si="10"/>
        <v>691.09652535000009</v>
      </c>
      <c r="K40" s="511">
        <f t="shared" si="10"/>
        <v>704.67886610841606</v>
      </c>
      <c r="L40" s="511">
        <f t="shared" si="10"/>
        <v>736.80196504999992</v>
      </c>
      <c r="M40" s="932">
        <f>M36+M39</f>
        <v>790.82919677268001</v>
      </c>
      <c r="N40" s="512">
        <f>N36+N39</f>
        <v>737.20457471999987</v>
      </c>
      <c r="Q40" s="979"/>
    </row>
    <row r="41" spans="2:17" s="25" customFormat="1" ht="20.25" customHeight="1" x14ac:dyDescent="0.4">
      <c r="B41" s="513"/>
      <c r="C41" s="504"/>
      <c r="D41" s="504"/>
      <c r="E41" s="511"/>
      <c r="F41" s="504"/>
      <c r="G41" s="504"/>
      <c r="H41" s="511"/>
      <c r="I41" s="511"/>
      <c r="J41" s="511"/>
      <c r="K41" s="511"/>
      <c r="L41" s="511"/>
      <c r="M41" s="932"/>
      <c r="N41" s="512"/>
    </row>
    <row r="42" spans="2:17" s="25" customFormat="1" ht="20.25" customHeight="1" x14ac:dyDescent="0.4">
      <c r="B42" s="510" t="s">
        <v>251</v>
      </c>
      <c r="C42" s="504"/>
      <c r="D42" s="504"/>
      <c r="E42" s="511"/>
      <c r="F42" s="504"/>
      <c r="G42" s="504"/>
      <c r="H42" s="511"/>
      <c r="I42" s="511"/>
      <c r="J42" s="511"/>
      <c r="K42" s="511"/>
      <c r="L42" s="511"/>
      <c r="M42" s="932"/>
      <c r="N42" s="512"/>
    </row>
    <row r="43" spans="2:17" s="25" customFormat="1" ht="20.25" customHeight="1" x14ac:dyDescent="0.4">
      <c r="B43" s="513" t="s">
        <v>244</v>
      </c>
      <c r="C43" s="523">
        <f t="shared" ref="C43:L43" si="11">+C20/(C11+C13)</f>
        <v>4.1875965368941788E-2</v>
      </c>
      <c r="D43" s="523">
        <f t="shared" si="11"/>
        <v>3.4300392140169306E-2</v>
      </c>
      <c r="E43" s="524">
        <f t="shared" si="11"/>
        <v>3.6013955747160542E-2</v>
      </c>
      <c r="F43" s="523">
        <f t="shared" si="11"/>
        <v>2.0054109788193674E-2</v>
      </c>
      <c r="G43" s="523">
        <f t="shared" si="11"/>
        <v>2.2869879388494035E-2</v>
      </c>
      <c r="H43" s="524">
        <f t="shared" si="11"/>
        <v>2.2168977266699811E-2</v>
      </c>
      <c r="I43" s="524">
        <f t="shared" si="11"/>
        <v>2.1422940835100542E-2</v>
      </c>
      <c r="J43" s="524">
        <f t="shared" si="11"/>
        <v>1.5808705691355989E-2</v>
      </c>
      <c r="K43" s="524">
        <f t="shared" si="11"/>
        <v>1.5671312316180876E-2</v>
      </c>
      <c r="L43" s="524">
        <f t="shared" si="11"/>
        <v>1.5669883463102975E-2</v>
      </c>
      <c r="M43" s="690">
        <f t="shared" ref="M43:N43" si="12">+M20/(M11+M13)</f>
        <v>1.4852158214463547E-2</v>
      </c>
      <c r="N43" s="532">
        <f t="shared" si="12"/>
        <v>1.0934902211840816E-2</v>
      </c>
    </row>
    <row r="44" spans="2:17" s="25" customFormat="1" ht="20.25" customHeight="1" x14ac:dyDescent="0.4">
      <c r="B44" s="514" t="s">
        <v>28</v>
      </c>
      <c r="C44" s="525">
        <f t="shared" ref="C44:L44" si="13">+C21/C14</f>
        <v>3.898301835040241E-2</v>
      </c>
      <c r="D44" s="525">
        <f t="shared" si="13"/>
        <v>2.0029598780959494E-2</v>
      </c>
      <c r="E44" s="526">
        <f t="shared" si="13"/>
        <v>2.3953430359702099E-2</v>
      </c>
      <c r="F44" s="525">
        <f t="shared" si="13"/>
        <v>2.1608667412946616E-2</v>
      </c>
      <c r="G44" s="525">
        <f t="shared" si="13"/>
        <v>2.4594598046256601E-2</v>
      </c>
      <c r="H44" s="526">
        <f t="shared" si="13"/>
        <v>2.9088822310001965E-2</v>
      </c>
      <c r="I44" s="526">
        <f t="shared" si="13"/>
        <v>3.0688165553241879E-2</v>
      </c>
      <c r="J44" s="526">
        <f t="shared" si="13"/>
        <v>2.1744568684774663E-2</v>
      </c>
      <c r="K44" s="526">
        <f t="shared" si="13"/>
        <v>2.585446308567407E-2</v>
      </c>
      <c r="L44" s="526">
        <f t="shared" si="13"/>
        <v>2.6475067032309001E-2</v>
      </c>
      <c r="M44" s="691">
        <f t="shared" ref="M44:N44" si="14">+M21/M14</f>
        <v>2.7818257864816651E-2</v>
      </c>
      <c r="N44" s="533">
        <f t="shared" si="14"/>
        <v>2.7021767454653605E-2</v>
      </c>
    </row>
    <row r="45" spans="2:17" s="25" customFormat="1" ht="20.25" customHeight="1" x14ac:dyDescent="0.4">
      <c r="B45" s="514" t="s">
        <v>29</v>
      </c>
      <c r="C45" s="525">
        <f t="shared" ref="C45:L45" si="15">+C22/C15</f>
        <v>0.11974841145218729</v>
      </c>
      <c r="D45" s="525">
        <f t="shared" si="15"/>
        <v>5.3530080314146633E-2</v>
      </c>
      <c r="E45" s="526">
        <f t="shared" si="15"/>
        <v>5.9472986396931736E-2</v>
      </c>
      <c r="F45" s="525">
        <f t="shared" si="15"/>
        <v>2.5922207531842489E-2</v>
      </c>
      <c r="G45" s="525">
        <f t="shared" si="15"/>
        <v>3.0993883822514903E-2</v>
      </c>
      <c r="H45" s="526">
        <f t="shared" si="15"/>
        <v>3.7161029050059247E-2</v>
      </c>
      <c r="I45" s="526">
        <f t="shared" si="15"/>
        <v>4.1576611392657115E-2</v>
      </c>
      <c r="J45" s="526">
        <f t="shared" si="15"/>
        <v>2.981070591732126E-2</v>
      </c>
      <c r="K45" s="526">
        <f t="shared" si="15"/>
        <v>3.7431514497899575E-2</v>
      </c>
      <c r="L45" s="526">
        <f t="shared" si="15"/>
        <v>4.0284271161308345E-2</v>
      </c>
      <c r="M45" s="691">
        <f t="shared" ref="M45:N45" si="16">+M22/M15</f>
        <v>4.2434839723374675E-2</v>
      </c>
      <c r="N45" s="533">
        <f t="shared" si="16"/>
        <v>4.4996024104459999E-2</v>
      </c>
    </row>
    <row r="46" spans="2:17" s="25" customFormat="1" ht="20.25" customHeight="1" x14ac:dyDescent="0.4">
      <c r="B46" s="513" t="s">
        <v>248</v>
      </c>
      <c r="C46" s="523">
        <f t="shared" ref="C46:L46" si="17">+C23/C16</f>
        <v>5.6530992853848085E-2</v>
      </c>
      <c r="D46" s="523">
        <f t="shared" si="17"/>
        <v>2.7125688599717385E-2</v>
      </c>
      <c r="E46" s="524">
        <f t="shared" si="17"/>
        <v>3.1615958954245398E-2</v>
      </c>
      <c r="F46" s="523">
        <f t="shared" si="17"/>
        <v>2.2491597321638874E-2</v>
      </c>
      <c r="G46" s="523">
        <f t="shared" si="17"/>
        <v>2.5913907645433647E-2</v>
      </c>
      <c r="H46" s="524">
        <f t="shared" si="17"/>
        <v>3.0793165784730982E-2</v>
      </c>
      <c r="I46" s="524">
        <f t="shared" si="17"/>
        <v>3.3025198027930615E-2</v>
      </c>
      <c r="J46" s="524">
        <f t="shared" si="17"/>
        <v>2.3531864011676062E-2</v>
      </c>
      <c r="K46" s="524">
        <f t="shared" si="17"/>
        <v>2.8416495579757974E-2</v>
      </c>
      <c r="L46" s="524">
        <f t="shared" si="17"/>
        <v>2.9607313274326204E-2</v>
      </c>
      <c r="M46" s="690">
        <f t="shared" ref="M46:N46" si="18">+M23/M16</f>
        <v>3.1180504192194518E-2</v>
      </c>
      <c r="N46" s="532">
        <f t="shared" si="18"/>
        <v>3.1044454398100524E-2</v>
      </c>
    </row>
    <row r="47" spans="2:17" s="25" customFormat="1" ht="20.25" customHeight="1" x14ac:dyDescent="0.4">
      <c r="B47" s="513" t="s">
        <v>250</v>
      </c>
      <c r="C47" s="523">
        <f t="shared" ref="C47:L47" si="19">+C24/(C17)</f>
        <v>4.5311372429198804E-2</v>
      </c>
      <c r="D47" s="523">
        <f t="shared" si="19"/>
        <v>3.2696147772975956E-2</v>
      </c>
      <c r="E47" s="524">
        <f t="shared" si="19"/>
        <v>3.5040357692990139E-2</v>
      </c>
      <c r="F47" s="523">
        <f t="shared" si="19"/>
        <v>2.0569238035413929E-2</v>
      </c>
      <c r="G47" s="523">
        <f t="shared" si="19"/>
        <v>2.3532210475069787E-2</v>
      </c>
      <c r="H47" s="524">
        <f t="shared" si="19"/>
        <v>2.3996841290478695E-2</v>
      </c>
      <c r="I47" s="524">
        <f t="shared" si="19"/>
        <v>2.3852895812579537E-2</v>
      </c>
      <c r="J47" s="524">
        <f t="shared" si="19"/>
        <v>1.7318707746868042E-2</v>
      </c>
      <c r="K47" s="524">
        <f t="shared" si="19"/>
        <v>1.8101411856162285E-2</v>
      </c>
      <c r="L47" s="524">
        <f t="shared" si="19"/>
        <v>1.832862227719104E-2</v>
      </c>
      <c r="M47" s="690">
        <f t="shared" ref="M47:N47" si="20">+M24/(M17)</f>
        <v>1.7942610672168374E-2</v>
      </c>
      <c r="N47" s="532">
        <f t="shared" si="20"/>
        <v>1.4671445163245993E-2</v>
      </c>
    </row>
    <row r="48" spans="2:17" s="25" customFormat="1" ht="20.25" customHeight="1" x14ac:dyDescent="0.4">
      <c r="B48" s="513"/>
      <c r="C48" s="504"/>
      <c r="D48" s="504"/>
      <c r="E48" s="511"/>
      <c r="F48" s="504"/>
      <c r="G48" s="504"/>
      <c r="H48" s="511"/>
      <c r="I48" s="511"/>
      <c r="J48" s="511"/>
      <c r="K48" s="511"/>
      <c r="L48" s="511"/>
      <c r="M48" s="932"/>
      <c r="N48" s="512"/>
    </row>
    <row r="49" spans="2:14" s="25" customFormat="1" ht="20.25" customHeight="1" x14ac:dyDescent="0.4">
      <c r="B49" s="534" t="s">
        <v>45</v>
      </c>
      <c r="C49" s="523"/>
      <c r="D49" s="523"/>
      <c r="E49" s="524"/>
      <c r="F49" s="523"/>
      <c r="G49" s="523"/>
      <c r="H49" s="524"/>
      <c r="I49" s="524"/>
      <c r="J49" s="524"/>
      <c r="K49" s="524"/>
      <c r="L49" s="524"/>
      <c r="M49" s="690"/>
      <c r="N49" s="532"/>
    </row>
    <row r="50" spans="2:14" s="25" customFormat="1" ht="20.25" customHeight="1" x14ac:dyDescent="0.4">
      <c r="B50" s="535" t="s">
        <v>244</v>
      </c>
      <c r="C50" s="523">
        <f t="shared" ref="C50:L50" si="21">+C27/(C11+C13)</f>
        <v>6.2925696765171832E-2</v>
      </c>
      <c r="D50" s="523">
        <f t="shared" si="21"/>
        <v>5.7818685965783892E-2</v>
      </c>
      <c r="E50" s="524">
        <f t="shared" si="21"/>
        <v>5.595626294025411E-2</v>
      </c>
      <c r="F50" s="523">
        <f t="shared" si="21"/>
        <v>3.3394240961186643E-2</v>
      </c>
      <c r="G50" s="523">
        <f t="shared" si="21"/>
        <v>3.3173576930804305E-2</v>
      </c>
      <c r="H50" s="524">
        <f t="shared" si="21"/>
        <v>2.9502153111792561E-2</v>
      </c>
      <c r="I50" s="524">
        <f t="shared" si="21"/>
        <v>2.8110098894518241E-2</v>
      </c>
      <c r="J50" s="524">
        <f t="shared" si="21"/>
        <v>2.3724238894204819E-2</v>
      </c>
      <c r="K50" s="524">
        <f t="shared" si="21"/>
        <v>2.2969122353596827E-2</v>
      </c>
      <c r="L50" s="524">
        <f t="shared" si="21"/>
        <v>2.2054835069662188E-2</v>
      </c>
      <c r="M50" s="690">
        <f t="shared" ref="M50:N50" si="22">+M27/(M11+M13)</f>
        <v>2.1333571879844304E-2</v>
      </c>
      <c r="N50" s="532">
        <f t="shared" si="22"/>
        <v>1.481475385711728E-2</v>
      </c>
    </row>
    <row r="51" spans="2:14" s="25" customFormat="1" ht="20.25" customHeight="1" x14ac:dyDescent="0.4">
      <c r="B51" s="536" t="s">
        <v>28</v>
      </c>
      <c r="C51" s="525">
        <f t="shared" ref="C51:L51" si="23">+C28/C14</f>
        <v>5.8818181964395401E-2</v>
      </c>
      <c r="D51" s="525">
        <f t="shared" si="23"/>
        <v>3.9425534716381334E-2</v>
      </c>
      <c r="E51" s="526">
        <f t="shared" si="23"/>
        <v>4.3088773828232188E-2</v>
      </c>
      <c r="F51" s="525">
        <f t="shared" si="23"/>
        <v>3.8886455533550843E-2</v>
      </c>
      <c r="G51" s="525">
        <f t="shared" si="23"/>
        <v>4.1068098383779568E-2</v>
      </c>
      <c r="H51" s="526">
        <f t="shared" si="23"/>
        <v>4.4774747827163938E-2</v>
      </c>
      <c r="I51" s="526">
        <f t="shared" si="23"/>
        <v>4.685838711620717E-2</v>
      </c>
      <c r="J51" s="526">
        <f t="shared" si="23"/>
        <v>3.2870841332974236E-2</v>
      </c>
      <c r="K51" s="526">
        <f t="shared" si="23"/>
        <v>3.7026927914090318E-2</v>
      </c>
      <c r="L51" s="526">
        <f t="shared" si="23"/>
        <v>3.7751152345921149E-2</v>
      </c>
      <c r="M51" s="691">
        <f t="shared" ref="M51:N51" si="24">+M28/M14</f>
        <v>3.8331547120856332E-2</v>
      </c>
      <c r="N51" s="533">
        <f t="shared" si="24"/>
        <v>4.0577140086104281E-2</v>
      </c>
    </row>
    <row r="52" spans="2:14" s="25" customFormat="1" ht="20.25" customHeight="1" x14ac:dyDescent="0.4">
      <c r="B52" s="536" t="s">
        <v>29</v>
      </c>
      <c r="C52" s="525">
        <f t="shared" ref="C52:L52" si="25">+C29/C15</f>
        <v>0.14404053490410168</v>
      </c>
      <c r="D52" s="525">
        <f t="shared" si="25"/>
        <v>7.4879539859700375E-2</v>
      </c>
      <c r="E52" s="526">
        <f t="shared" si="25"/>
        <v>7.9375054982075616E-2</v>
      </c>
      <c r="F52" s="525">
        <f t="shared" si="25"/>
        <v>4.0371599522931657E-2</v>
      </c>
      <c r="G52" s="525">
        <f t="shared" si="25"/>
        <v>4.3917526704932153E-2</v>
      </c>
      <c r="H52" s="526">
        <f t="shared" si="25"/>
        <v>4.8483424328114137E-2</v>
      </c>
      <c r="I52" s="526">
        <f t="shared" si="25"/>
        <v>5.3266865414184912E-2</v>
      </c>
      <c r="J52" s="526">
        <f t="shared" si="25"/>
        <v>3.906935794179571E-2</v>
      </c>
      <c r="K52" s="526">
        <f t="shared" si="25"/>
        <v>4.6680889837685272E-2</v>
      </c>
      <c r="L52" s="526">
        <f t="shared" si="25"/>
        <v>4.893511251396751E-2</v>
      </c>
      <c r="M52" s="691">
        <f t="shared" ref="M52:N52" si="26">+M29/M15</f>
        <v>5.0978907852993735E-2</v>
      </c>
      <c r="N52" s="533">
        <f t="shared" si="26"/>
        <v>5.5020965638734626E-2</v>
      </c>
    </row>
    <row r="53" spans="2:14" s="25" customFormat="1" ht="20.25" customHeight="1" x14ac:dyDescent="0.4">
      <c r="B53" s="535" t="s">
        <v>248</v>
      </c>
      <c r="C53" s="523">
        <f t="shared" ref="C53:L53" si="27">+C30/C16</f>
        <v>7.7334524411028838E-2</v>
      </c>
      <c r="D53" s="523">
        <f t="shared" si="27"/>
        <v>4.6935420945403587E-2</v>
      </c>
      <c r="E53" s="524">
        <f t="shared" si="27"/>
        <v>5.0916705760701494E-2</v>
      </c>
      <c r="F53" s="523">
        <f t="shared" si="27"/>
        <v>3.9190446689491343E-2</v>
      </c>
      <c r="G53" s="523">
        <f t="shared" si="27"/>
        <v>4.1655551150807206E-2</v>
      </c>
      <c r="H53" s="524">
        <f t="shared" si="27"/>
        <v>4.5557787558159528E-2</v>
      </c>
      <c r="I53" s="524">
        <f t="shared" si="27"/>
        <v>4.8233865500964083E-2</v>
      </c>
      <c r="J53" s="524">
        <f t="shared" si="27"/>
        <v>3.4244309134137556E-2</v>
      </c>
      <c r="K53" s="524">
        <f t="shared" si="27"/>
        <v>3.916337555211151E-2</v>
      </c>
      <c r="L53" s="524">
        <f t="shared" si="27"/>
        <v>4.0287932661425968E-2</v>
      </c>
      <c r="M53" s="690">
        <f t="shared" ref="M53:N53" si="28">+M30/M16</f>
        <v>4.1240814320543953E-2</v>
      </c>
      <c r="N53" s="532">
        <f t="shared" si="28"/>
        <v>4.3809707062086395E-2</v>
      </c>
    </row>
    <row r="54" spans="2:14" s="25" customFormat="1" ht="20.25" customHeight="1" x14ac:dyDescent="0.4">
      <c r="B54" s="535" t="s">
        <v>250</v>
      </c>
      <c r="C54" s="523">
        <f t="shared" ref="C54:L54" si="29">+C31/(C17)</f>
        <v>6.630339007046146E-2</v>
      </c>
      <c r="D54" s="523">
        <f t="shared" si="29"/>
        <v>5.5385217250710307E-2</v>
      </c>
      <c r="E54" s="524">
        <f t="shared" si="29"/>
        <v>5.4840640693371863E-2</v>
      </c>
      <c r="F54" s="523">
        <f t="shared" si="29"/>
        <v>3.4619186425063307E-2</v>
      </c>
      <c r="G54" s="523">
        <f t="shared" si="29"/>
        <v>3.5019116698260362E-2</v>
      </c>
      <c r="H54" s="524">
        <f t="shared" si="29"/>
        <v>3.2905083894451168E-2</v>
      </c>
      <c r="I54" s="524">
        <f t="shared" si="29"/>
        <v>3.2324782814917595E-2</v>
      </c>
      <c r="J54" s="524">
        <f>+J31/(J17)</f>
        <v>2.5781082354817866E-2</v>
      </c>
      <c r="K54" s="524">
        <f t="shared" si="29"/>
        <v>2.6056849413631893E-2</v>
      </c>
      <c r="L54" s="524">
        <f t="shared" si="29"/>
        <v>2.5533026165501207E-2</v>
      </c>
      <c r="M54" s="690">
        <f>+M31/(M17)</f>
        <v>2.5101399093383991E-2</v>
      </c>
      <c r="N54" s="532">
        <f>+N31/(N17)</f>
        <v>2.0202287454129778E-2</v>
      </c>
    </row>
    <row r="55" spans="2:14" s="25" customFormat="1" ht="20.25" customHeight="1" x14ac:dyDescent="0.4">
      <c r="B55" s="535"/>
      <c r="C55" s="523"/>
      <c r="D55" s="523"/>
      <c r="E55" s="524"/>
      <c r="F55" s="523"/>
      <c r="G55" s="523"/>
      <c r="H55" s="524"/>
      <c r="I55" s="524"/>
      <c r="J55" s="524"/>
      <c r="K55" s="524"/>
      <c r="L55" s="524"/>
      <c r="M55" s="690"/>
      <c r="N55" s="532"/>
    </row>
    <row r="56" spans="2:14" s="25" customFormat="1" ht="20.25" customHeight="1" x14ac:dyDescent="0.4">
      <c r="B56" s="510" t="s">
        <v>32</v>
      </c>
      <c r="C56" s="504"/>
      <c r="D56" s="504"/>
      <c r="E56" s="511"/>
      <c r="F56" s="504"/>
      <c r="G56" s="504"/>
      <c r="H56" s="511"/>
      <c r="I56" s="511"/>
      <c r="J56" s="511"/>
      <c r="K56" s="511"/>
      <c r="L56" s="511"/>
      <c r="M56" s="932"/>
      <c r="N56" s="512"/>
    </row>
    <row r="57" spans="2:14" s="25" customFormat="1" ht="20.25" customHeight="1" x14ac:dyDescent="0.4">
      <c r="B57" s="513" t="s">
        <v>244</v>
      </c>
      <c r="C57" s="523">
        <f t="shared" ref="C57:L57" si="30">+C36/(C11+C13)</f>
        <v>3.7598675494725127E-2</v>
      </c>
      <c r="D57" s="523">
        <f t="shared" si="30"/>
        <v>3.4822639136604362E-2</v>
      </c>
      <c r="E57" s="524">
        <f t="shared" si="30"/>
        <v>3.4368845096702988E-2</v>
      </c>
      <c r="F57" s="523">
        <f t="shared" si="30"/>
        <v>2.3029962781002746E-2</v>
      </c>
      <c r="G57" s="523">
        <f t="shared" si="30"/>
        <v>2.2569033895770051E-2</v>
      </c>
      <c r="H57" s="524">
        <f t="shared" si="30"/>
        <v>2.0132420856645006E-2</v>
      </c>
      <c r="I57" s="524">
        <f t="shared" si="30"/>
        <v>2.0159216967302395E-2</v>
      </c>
      <c r="J57" s="524">
        <f t="shared" si="30"/>
        <v>1.6967191718850781E-2</v>
      </c>
      <c r="K57" s="524">
        <f t="shared" si="30"/>
        <v>1.6349118376161213E-2</v>
      </c>
      <c r="L57" s="524">
        <f t="shared" si="30"/>
        <v>1.5773421820776998E-2</v>
      </c>
      <c r="M57" s="690">
        <f t="shared" ref="M57:N57" si="31">+M36/(M11+M13)</f>
        <v>1.5464394007021999E-2</v>
      </c>
      <c r="N57" s="532">
        <f t="shared" si="31"/>
        <v>1.1146692734717002E-2</v>
      </c>
    </row>
    <row r="58" spans="2:14" s="25" customFormat="1" ht="20.25" customHeight="1" x14ac:dyDescent="0.4">
      <c r="B58" s="514" t="s">
        <v>28</v>
      </c>
      <c r="C58" s="525">
        <f t="shared" ref="C58:L58" si="32">+C37/C14</f>
        <v>1.3210498012167617E-2</v>
      </c>
      <c r="D58" s="525">
        <f t="shared" si="32"/>
        <v>7.3318108709664476E-3</v>
      </c>
      <c r="E58" s="526">
        <f t="shared" si="32"/>
        <v>7.7342428713024092E-3</v>
      </c>
      <c r="F58" s="525">
        <f t="shared" si="32"/>
        <v>6.5356661670205787E-3</v>
      </c>
      <c r="G58" s="525">
        <f t="shared" si="32"/>
        <v>6.7723061702229777E-3</v>
      </c>
      <c r="H58" s="526">
        <f t="shared" si="32"/>
        <v>7.1203051659313637E-3</v>
      </c>
      <c r="I58" s="526">
        <f t="shared" si="32"/>
        <v>8.7116776450158924E-3</v>
      </c>
      <c r="J58" s="526">
        <f t="shared" si="32"/>
        <v>6.7429794079894899E-3</v>
      </c>
      <c r="K58" s="526">
        <f t="shared" si="32"/>
        <v>8.7724125509300328E-3</v>
      </c>
      <c r="L58" s="526">
        <f t="shared" si="32"/>
        <v>1.5735087531563108E-2</v>
      </c>
      <c r="M58" s="691">
        <f t="shared" ref="M58:N58" si="33">+M37/M14</f>
        <v>2.3274139721612901E-2</v>
      </c>
      <c r="N58" s="533">
        <f t="shared" si="33"/>
        <v>3.3337726557003296E-2</v>
      </c>
    </row>
    <row r="59" spans="2:14" s="25" customFormat="1" ht="20.25" customHeight="1" x14ac:dyDescent="0.4">
      <c r="B59" s="514" t="s">
        <v>29</v>
      </c>
      <c r="C59" s="525">
        <f t="shared" ref="C59:L59" si="34">+C38/C15</f>
        <v>0.11223742464710711</v>
      </c>
      <c r="D59" s="525">
        <f t="shared" si="34"/>
        <v>6.6318332566348476E-2</v>
      </c>
      <c r="E59" s="526">
        <f t="shared" si="34"/>
        <v>6.944399960421864E-2</v>
      </c>
      <c r="F59" s="525">
        <f t="shared" si="34"/>
        <v>4.7828400267556949E-2</v>
      </c>
      <c r="G59" s="525">
        <f t="shared" si="34"/>
        <v>5.0086773505683288E-2</v>
      </c>
      <c r="H59" s="526">
        <f t="shared" si="34"/>
        <v>5.1323268906638145E-2</v>
      </c>
      <c r="I59" s="526">
        <f t="shared" si="34"/>
        <v>5.4866995454939976E-2</v>
      </c>
      <c r="J59" s="526">
        <f t="shared" si="34"/>
        <v>4.6323392549047368E-2</v>
      </c>
      <c r="K59" s="526">
        <f t="shared" si="34"/>
        <v>5.2175077584627375E-2</v>
      </c>
      <c r="L59" s="526">
        <f t="shared" si="34"/>
        <v>5.1636225993652571E-2</v>
      </c>
      <c r="M59" s="691">
        <f t="shared" ref="M59:N59" si="35">+M38/M15</f>
        <v>5.305194913016123E-2</v>
      </c>
      <c r="N59" s="533">
        <f t="shared" si="35"/>
        <v>6.4572376884765872E-2</v>
      </c>
    </row>
    <row r="60" spans="2:14" s="25" customFormat="1" ht="20.25" customHeight="1" x14ac:dyDescent="0.4">
      <c r="B60" s="513" t="s">
        <v>248</v>
      </c>
      <c r="C60" s="523">
        <f t="shared" ref="C60:L60" si="36">+C39/C16</f>
        <v>3.4726173439569213E-2</v>
      </c>
      <c r="D60" s="523">
        <f t="shared" si="36"/>
        <v>1.982636727404034E-2</v>
      </c>
      <c r="E60" s="524">
        <f t="shared" si="36"/>
        <v>2.1046705871477958E-2</v>
      </c>
      <c r="F60" s="523">
        <f t="shared" si="36"/>
        <v>1.4987793409173725E-2</v>
      </c>
      <c r="G60" s="523">
        <f t="shared" si="36"/>
        <v>1.5702239062253702E-2</v>
      </c>
      <c r="H60" s="524">
        <f t="shared" si="36"/>
        <v>1.6453197055494442E-2</v>
      </c>
      <c r="I60" s="524">
        <f t="shared" si="36"/>
        <v>1.8618185717169271E-2</v>
      </c>
      <c r="J60" s="524">
        <f t="shared" si="36"/>
        <v>1.5513210486925062E-2</v>
      </c>
      <c r="K60" s="524">
        <f t="shared" si="36"/>
        <v>1.8377538604766531E-2</v>
      </c>
      <c r="L60" s="524">
        <f t="shared" si="36"/>
        <v>2.3878294408769835E-2</v>
      </c>
      <c r="M60" s="690">
        <f t="shared" ref="M60:N60" si="37">+M39/M16</f>
        <v>3.0123917001287161E-2</v>
      </c>
      <c r="N60" s="532">
        <f t="shared" si="37"/>
        <v>4.0328125242446229E-2</v>
      </c>
    </row>
    <row r="61" spans="2:14" s="25" customFormat="1" ht="20.25" customHeight="1" x14ac:dyDescent="0.4">
      <c r="B61" s="513" t="s">
        <v>250</v>
      </c>
      <c r="C61" s="523">
        <f t="shared" ref="C61:L61" si="38">+C40/C17</f>
        <v>3.6925308361770305E-2</v>
      </c>
      <c r="D61" s="523">
        <f t="shared" si="38"/>
        <v>3.1469513181116723E-2</v>
      </c>
      <c r="E61" s="524">
        <f t="shared" si="38"/>
        <v>3.1419682230563427E-2</v>
      </c>
      <c r="F61" s="523">
        <f t="shared" si="38"/>
        <v>2.1330364914135598E-2</v>
      </c>
      <c r="G61" s="523">
        <f t="shared" si="38"/>
        <v>2.1074930917912633E-2</v>
      </c>
      <c r="H61" s="524">
        <f t="shared" si="38"/>
        <v>1.9352623336276169E-2</v>
      </c>
      <c r="I61" s="524">
        <f t="shared" si="38"/>
        <v>1.9836466273667905E-2</v>
      </c>
      <c r="J61" s="524">
        <f t="shared" si="38"/>
        <v>1.6682914929767322E-2</v>
      </c>
      <c r="K61" s="524">
        <f t="shared" si="38"/>
        <v>1.6735873353510934E-2</v>
      </c>
      <c r="L61" s="524">
        <f t="shared" si="38"/>
        <v>1.7319527496271244E-2</v>
      </c>
      <c r="M61" s="690">
        <f t="shared" ref="M61:N61" si="39">+M40/M17</f>
        <v>1.8238989727139318E-2</v>
      </c>
      <c r="N61" s="532">
        <f t="shared" si="39"/>
        <v>1.6568875930977531E-2</v>
      </c>
    </row>
    <row r="62" spans="2:14" s="25" customFormat="1" ht="20.25" customHeight="1" x14ac:dyDescent="0.4">
      <c r="B62" s="513"/>
      <c r="C62" s="504"/>
      <c r="D62" s="504"/>
      <c r="E62" s="511"/>
      <c r="F62" s="504"/>
      <c r="G62" s="504"/>
      <c r="H62" s="511"/>
      <c r="I62" s="511"/>
      <c r="J62" s="511"/>
      <c r="K62" s="511"/>
      <c r="L62" s="511"/>
      <c r="M62" s="932"/>
      <c r="N62" s="512"/>
    </row>
    <row r="63" spans="2:14" s="25" customFormat="1" ht="20.25" customHeight="1" x14ac:dyDescent="0.4">
      <c r="B63" s="510" t="s">
        <v>31</v>
      </c>
      <c r="C63" s="504"/>
      <c r="D63" s="504"/>
      <c r="E63" s="511"/>
      <c r="F63" s="504"/>
      <c r="G63" s="504"/>
      <c r="H63" s="511"/>
      <c r="I63" s="511"/>
      <c r="J63" s="511"/>
      <c r="K63" s="511"/>
      <c r="L63" s="511"/>
      <c r="M63" s="932"/>
      <c r="N63" s="512"/>
    </row>
    <row r="64" spans="2:14" s="25" customFormat="1" ht="20.25" customHeight="1" x14ac:dyDescent="0.4">
      <c r="B64" s="513" t="s">
        <v>244</v>
      </c>
      <c r="C64" s="523">
        <f t="shared" ref="C64:L64" si="40">+C36/C20</f>
        <v>0.89785811893451872</v>
      </c>
      <c r="D64" s="523">
        <f t="shared" si="40"/>
        <v>1.0152256858843154</v>
      </c>
      <c r="E64" s="524">
        <f t="shared" si="40"/>
        <v>0.95432019015052927</v>
      </c>
      <c r="F64" s="523">
        <f t="shared" si="40"/>
        <v>1.1483911788775099</v>
      </c>
      <c r="G64" s="523">
        <f t="shared" si="40"/>
        <v>0.98684533977580402</v>
      </c>
      <c r="H64" s="524">
        <f t="shared" si="40"/>
        <v>0.9081348505366581</v>
      </c>
      <c r="I64" s="524">
        <f t="shared" si="40"/>
        <v>0.94101071941870884</v>
      </c>
      <c r="J64" s="524">
        <f t="shared" si="40"/>
        <v>1.073281522859157</v>
      </c>
      <c r="K64" s="524">
        <f t="shared" si="40"/>
        <v>1.0432513912239814</v>
      </c>
      <c r="L64" s="524">
        <f t="shared" si="40"/>
        <v>1.0066074746450933</v>
      </c>
      <c r="M64" s="690">
        <f t="shared" ref="M64:N64" si="41">+M36/M20</f>
        <v>1.0412220085268304</v>
      </c>
      <c r="N64" s="532">
        <f t="shared" si="41"/>
        <v>1.0193683051547413</v>
      </c>
    </row>
    <row r="65" spans="2:14" s="25" customFormat="1" ht="20.25" customHeight="1" x14ac:dyDescent="0.4">
      <c r="B65" s="514" t="s">
        <v>28</v>
      </c>
      <c r="C65" s="525">
        <f t="shared" ref="C65:K65" si="42">+C37/C21</f>
        <v>0.33887827498178447</v>
      </c>
      <c r="D65" s="525">
        <f t="shared" si="42"/>
        <v>0.36604881361558789</v>
      </c>
      <c r="E65" s="526">
        <f t="shared" si="42"/>
        <v>0.322886649434315</v>
      </c>
      <c r="F65" s="525">
        <f t="shared" si="42"/>
        <v>0.30245577120155037</v>
      </c>
      <c r="G65" s="525">
        <f t="shared" si="42"/>
        <v>0.2753574649801504</v>
      </c>
      <c r="H65" s="526">
        <f t="shared" si="42"/>
        <v>0.24477804876559414</v>
      </c>
      <c r="I65" s="526">
        <f t="shared" si="42"/>
        <v>0.28387743248783393</v>
      </c>
      <c r="J65" s="526">
        <f t="shared" si="42"/>
        <v>0.3100994784371538</v>
      </c>
      <c r="K65" s="526">
        <f t="shared" si="42"/>
        <v>0.33929973799343049</v>
      </c>
      <c r="L65" s="526">
        <f>+L37/L21</f>
        <v>0.5943360790120269</v>
      </c>
      <c r="M65" s="691">
        <f t="shared" ref="M65:N65" si="43">+M37/M21</f>
        <v>0.8366497943442045</v>
      </c>
      <c r="N65" s="533">
        <f t="shared" si="43"/>
        <v>1.2337359727837482</v>
      </c>
    </row>
    <row r="66" spans="2:14" s="25" customFormat="1" ht="20.25" customHeight="1" x14ac:dyDescent="0.4">
      <c r="B66" s="514" t="s">
        <v>29</v>
      </c>
      <c r="C66" s="525">
        <f t="shared" ref="C66:K66" si="44">+C38/C22</f>
        <v>0.93727693992768202</v>
      </c>
      <c r="D66" s="525">
        <f t="shared" si="44"/>
        <v>1.2388984320059433</v>
      </c>
      <c r="E66" s="526">
        <f t="shared" si="44"/>
        <v>1.167656171505141</v>
      </c>
      <c r="F66" s="525">
        <f t="shared" si="44"/>
        <v>1.8450743521285828</v>
      </c>
      <c r="G66" s="525">
        <f t="shared" si="44"/>
        <v>1.6160212057483008</v>
      </c>
      <c r="H66" s="526">
        <f t="shared" si="44"/>
        <v>1.3811046200443235</v>
      </c>
      <c r="I66" s="526">
        <f t="shared" si="44"/>
        <v>1.3196601073802301</v>
      </c>
      <c r="J66" s="526">
        <f t="shared" si="44"/>
        <v>1.5539180010538278</v>
      </c>
      <c r="K66" s="526">
        <f t="shared" si="44"/>
        <v>1.393881019362845</v>
      </c>
      <c r="L66" s="526">
        <f>+L38/L22</f>
        <v>1.2817962074301443</v>
      </c>
      <c r="M66" s="691">
        <f t="shared" ref="M66:N66" si="45">+M38/M22</f>
        <v>1.2501979382035524</v>
      </c>
      <c r="N66" s="533">
        <f t="shared" si="45"/>
        <v>1.4350685014937903</v>
      </c>
    </row>
    <row r="67" spans="2:14" s="25" customFormat="1" ht="20.25" customHeight="1" x14ac:dyDescent="0.4">
      <c r="B67" s="513" t="s">
        <v>248</v>
      </c>
      <c r="C67" s="523">
        <f t="shared" ref="C67:L67" si="46">+C39/C23</f>
        <v>0.61428557480581014</v>
      </c>
      <c r="D67" s="523">
        <f t="shared" si="46"/>
        <v>0.73090742751676741</v>
      </c>
      <c r="E67" s="524">
        <f t="shared" si="46"/>
        <v>0.6656987979373562</v>
      </c>
      <c r="F67" s="523">
        <f t="shared" si="46"/>
        <v>0.66637301009982808</v>
      </c>
      <c r="G67" s="523">
        <f t="shared" si="46"/>
        <v>0.60593868269884921</v>
      </c>
      <c r="H67" s="524">
        <f t="shared" si="46"/>
        <v>0.53431326842181592</v>
      </c>
      <c r="I67" s="524">
        <f t="shared" si="46"/>
        <v>0.56375697433890304</v>
      </c>
      <c r="J67" s="524">
        <f t="shared" si="46"/>
        <v>0.65924273908890951</v>
      </c>
      <c r="K67" s="524">
        <f t="shared" si="46"/>
        <v>0.64672079472943422</v>
      </c>
      <c r="L67" s="524">
        <f t="shared" si="46"/>
        <v>0.8064998734443003</v>
      </c>
      <c r="M67" s="690">
        <f t="shared" ref="M67:N67" si="47">+M39/M23</f>
        <v>0.96611385164285268</v>
      </c>
      <c r="N67" s="532">
        <f t="shared" si="47"/>
        <v>1.2990444195055246</v>
      </c>
    </row>
    <row r="68" spans="2:14" s="25" customFormat="1" ht="20.25" customHeight="1" x14ac:dyDescent="0.4">
      <c r="B68" s="513" t="s">
        <v>250</v>
      </c>
      <c r="C68" s="523">
        <f t="shared" ref="C68:L68" si="48">+C40/C24</f>
        <v>0.81492363577086246</v>
      </c>
      <c r="D68" s="523">
        <f t="shared" si="48"/>
        <v>0.96248381918333903</v>
      </c>
      <c r="E68" s="524">
        <f t="shared" si="48"/>
        <v>0.89667127561454574</v>
      </c>
      <c r="F68" s="523">
        <f t="shared" si="48"/>
        <v>1.0370031635304742</v>
      </c>
      <c r="G68" s="523">
        <f t="shared" si="48"/>
        <v>0.89557803931082403</v>
      </c>
      <c r="H68" s="524">
        <f t="shared" si="48"/>
        <v>0.80646544693174982</v>
      </c>
      <c r="I68" s="524">
        <f t="shared" si="48"/>
        <v>0.83161669046516984</v>
      </c>
      <c r="J68" s="524">
        <f t="shared" si="48"/>
        <v>0.96328866873940422</v>
      </c>
      <c r="K68" s="524">
        <f t="shared" si="48"/>
        <v>0.92456176824757008</v>
      </c>
      <c r="L68" s="524">
        <f t="shared" si="48"/>
        <v>0.94494431901869891</v>
      </c>
      <c r="M68" s="690">
        <f t="shared" ref="M68:N68" si="49">+M40/M24</f>
        <v>1.0165181678623096</v>
      </c>
      <c r="N68" s="532">
        <f t="shared" si="49"/>
        <v>1.1293281436572362</v>
      </c>
    </row>
    <row r="69" spans="2:14" s="25" customFormat="1" ht="20.25" customHeight="1" x14ac:dyDescent="0.4">
      <c r="B69" s="513"/>
      <c r="C69" s="523"/>
      <c r="D69" s="523"/>
      <c r="E69" s="524"/>
      <c r="F69" s="523"/>
      <c r="G69" s="523"/>
      <c r="H69" s="524"/>
      <c r="I69" s="524"/>
      <c r="J69" s="524"/>
      <c r="K69" s="524"/>
      <c r="L69" s="524"/>
      <c r="M69" s="690"/>
      <c r="N69" s="532"/>
    </row>
    <row r="70" spans="2:14" s="25" customFormat="1" ht="20.25" customHeight="1" x14ac:dyDescent="0.4">
      <c r="B70" s="510" t="s">
        <v>47</v>
      </c>
      <c r="C70" s="504"/>
      <c r="D70" s="504"/>
      <c r="E70" s="511"/>
      <c r="F70" s="504"/>
      <c r="G70" s="504"/>
      <c r="H70" s="511"/>
      <c r="I70" s="511"/>
      <c r="J70" s="511"/>
      <c r="K70" s="511"/>
      <c r="L70" s="511"/>
      <c r="M70" s="932"/>
      <c r="N70" s="512"/>
    </row>
    <row r="71" spans="2:14" s="25" customFormat="1" ht="20.25" customHeight="1" x14ac:dyDescent="0.4">
      <c r="B71" s="513" t="s">
        <v>244</v>
      </c>
      <c r="C71" s="523">
        <f t="shared" ref="C71:L71" si="50">+C36/C27</f>
        <v>0.59750908496153954</v>
      </c>
      <c r="D71" s="523">
        <f t="shared" si="50"/>
        <v>0.60227309830617393</v>
      </c>
      <c r="E71" s="524">
        <f t="shared" si="50"/>
        <v>0.61420908564604215</v>
      </c>
      <c r="F71" s="523">
        <f t="shared" si="50"/>
        <v>0.68963875560968557</v>
      </c>
      <c r="G71" s="523">
        <f t="shared" si="50"/>
        <v>0.68033163691832432</v>
      </c>
      <c r="H71" s="524">
        <f t="shared" si="50"/>
        <v>0.68240513769816014</v>
      </c>
      <c r="I71" s="524">
        <f t="shared" si="50"/>
        <v>0.71715211828136449</v>
      </c>
      <c r="J71" s="524">
        <f t="shared" si="50"/>
        <v>0.71518381662374009</v>
      </c>
      <c r="K71" s="524">
        <f t="shared" si="50"/>
        <v>0.71178681207212258</v>
      </c>
      <c r="L71" s="524">
        <f t="shared" si="50"/>
        <v>0.71519110303728051</v>
      </c>
      <c r="M71" s="690">
        <f>+M36/M27</f>
        <v>0.72488536350692256</v>
      </c>
      <c r="N71" s="532">
        <f t="shared" ref="N71" si="51">+N36/N27</f>
        <v>0.7524048554719609</v>
      </c>
    </row>
    <row r="72" spans="2:14" s="25" customFormat="1" ht="20.25" customHeight="1" x14ac:dyDescent="0.4">
      <c r="B72" s="514" t="s">
        <v>28</v>
      </c>
      <c r="C72" s="525">
        <f t="shared" ref="C72:K72" si="52">+C37/C28</f>
        <v>0.22459888372891854</v>
      </c>
      <c r="D72" s="525">
        <f t="shared" si="52"/>
        <v>0.185966047733021</v>
      </c>
      <c r="E72" s="526">
        <f t="shared" si="52"/>
        <v>0.1794955433666775</v>
      </c>
      <c r="F72" s="525">
        <f t="shared" si="52"/>
        <v>0.1680705036585726</v>
      </c>
      <c r="G72" s="525">
        <f t="shared" si="52"/>
        <v>0.16490430374779166</v>
      </c>
      <c r="H72" s="526">
        <f t="shared" si="52"/>
        <v>0.15902501993794857</v>
      </c>
      <c r="I72" s="526">
        <f t="shared" si="52"/>
        <v>0.18591501289643697</v>
      </c>
      <c r="J72" s="526">
        <f t="shared" si="52"/>
        <v>0.20513558931104389</v>
      </c>
      <c r="K72" s="526">
        <f t="shared" si="52"/>
        <v>0.23691980526398887</v>
      </c>
      <c r="L72" s="526">
        <f>+L37/(L28+6)</f>
        <v>0.40651381030924166</v>
      </c>
      <c r="M72" s="691">
        <f>+M37/(M28+19)</f>
        <v>0.56301448300117218</v>
      </c>
      <c r="N72" s="533">
        <f>+N37/(N28+109.6)</f>
        <v>0.57821111878883102</v>
      </c>
    </row>
    <row r="73" spans="2:14" s="25" customFormat="1" ht="20.25" customHeight="1" x14ac:dyDescent="0.4">
      <c r="B73" s="514" t="s">
        <v>29</v>
      </c>
      <c r="C73" s="525">
        <f t="shared" ref="C73:K73" si="53">+C38/C29</f>
        <v>0.77920721914724744</v>
      </c>
      <c r="D73" s="525">
        <f t="shared" si="53"/>
        <v>0.88566693506139604</v>
      </c>
      <c r="E73" s="526">
        <f t="shared" si="53"/>
        <v>0.87488442836229097</v>
      </c>
      <c r="F73" s="525">
        <f t="shared" si="53"/>
        <v>1.1847041195479442</v>
      </c>
      <c r="G73" s="525">
        <f t="shared" si="53"/>
        <v>1.140473457036876</v>
      </c>
      <c r="H73" s="526">
        <f t="shared" si="53"/>
        <v>1.0585735149255384</v>
      </c>
      <c r="I73" s="526">
        <f t="shared" si="53"/>
        <v>1.030039876165286</v>
      </c>
      <c r="J73" s="526">
        <f t="shared" si="53"/>
        <v>1.1856706889849198</v>
      </c>
      <c r="K73" s="526">
        <f t="shared" si="53"/>
        <v>1.1176967227070009</v>
      </c>
      <c r="L73" s="526">
        <f>+L38/L29</f>
        <v>1.0551978597967684</v>
      </c>
      <c r="M73" s="691">
        <f>+M38/M29</f>
        <v>1.0406646859353177</v>
      </c>
      <c r="N73" s="533">
        <f t="shared" ref="N73" si="54">+N38/N29</f>
        <v>1.1735958490577103</v>
      </c>
    </row>
    <row r="74" spans="2:14" s="25" customFormat="1" ht="20.25" customHeight="1" x14ac:dyDescent="0.4">
      <c r="B74" s="513" t="s">
        <v>248</v>
      </c>
      <c r="C74" s="523">
        <f t="shared" ref="C74:K74" si="55">+C39/C30</f>
        <v>0.44903843017125794</v>
      </c>
      <c r="D74" s="523">
        <f t="shared" si="55"/>
        <v>0.42241801340405249</v>
      </c>
      <c r="E74" s="524">
        <f t="shared" si="55"/>
        <v>0.41335560808653521</v>
      </c>
      <c r="F74" s="523">
        <f t="shared" si="55"/>
        <v>0.38243487061842046</v>
      </c>
      <c r="G74" s="523">
        <f t="shared" si="55"/>
        <v>0.37695429848968454</v>
      </c>
      <c r="H74" s="524">
        <f t="shared" si="55"/>
        <v>0.36115004563138903</v>
      </c>
      <c r="I74" s="524">
        <f t="shared" si="55"/>
        <v>0.38599820942812757</v>
      </c>
      <c r="J74" s="524">
        <f t="shared" si="55"/>
        <v>0.45301572375598642</v>
      </c>
      <c r="K74" s="524">
        <f t="shared" si="55"/>
        <v>0.46925318223177775</v>
      </c>
      <c r="L74" s="524">
        <f>+L39/(L30+6)</f>
        <v>0.58201029521815928</v>
      </c>
      <c r="M74" s="690">
        <f>+M39/(M30+19)</f>
        <v>0.69161297953797052</v>
      </c>
      <c r="N74" s="532">
        <f>+N39/(N30+109.6)</f>
        <v>0.70668290056581251</v>
      </c>
    </row>
    <row r="75" spans="2:14" s="25" customFormat="1" ht="20.25" customHeight="1" x14ac:dyDescent="0.4">
      <c r="B75" s="513" t="s">
        <v>250</v>
      </c>
      <c r="C75" s="523">
        <f>+C40/C31</f>
        <v>0.55691433458423933</v>
      </c>
      <c r="D75" s="523">
        <f t="shared" ref="D75:K75" si="56">+D40/D31</f>
        <v>0.56819336897542161</v>
      </c>
      <c r="E75" s="524">
        <f t="shared" si="56"/>
        <v>0.57292697228391176</v>
      </c>
      <c r="F75" s="523">
        <f t="shared" si="56"/>
        <v>0.61614287095704312</v>
      </c>
      <c r="G75" s="523">
        <f t="shared" si="56"/>
        <v>0.60181217874520421</v>
      </c>
      <c r="H75" s="524">
        <f t="shared" si="56"/>
        <v>0.58813475140659432</v>
      </c>
      <c r="I75" s="524">
        <f t="shared" si="56"/>
        <v>0.61366123903278191</v>
      </c>
      <c r="J75" s="524">
        <f t="shared" si="56"/>
        <v>0.64709908995150034</v>
      </c>
      <c r="K75" s="524">
        <f t="shared" si="56"/>
        <v>0.64228307451304534</v>
      </c>
      <c r="L75" s="524">
        <f>+L40/(L31+6)</f>
        <v>0.67459235525568961</v>
      </c>
      <c r="M75" s="690">
        <f>+M40/(M31+19)</f>
        <v>0.71414551796231795</v>
      </c>
      <c r="N75" s="532">
        <f>+N40/(N31+109.6)</f>
        <v>0.73101494195570915</v>
      </c>
    </row>
    <row r="76" spans="2:14" s="25" customFormat="1" ht="20.25" customHeight="1" x14ac:dyDescent="0.4">
      <c r="B76" s="517"/>
      <c r="C76" s="518"/>
      <c r="D76" s="518"/>
      <c r="E76" s="519"/>
      <c r="F76" s="518"/>
      <c r="G76" s="518"/>
      <c r="H76" s="519"/>
      <c r="I76" s="519"/>
      <c r="J76" s="519"/>
      <c r="K76" s="519"/>
      <c r="L76" s="519"/>
      <c r="M76" s="689"/>
      <c r="N76" s="520"/>
    </row>
    <row r="77" spans="2:14" s="26" customFormat="1" ht="11.25" customHeight="1" x14ac:dyDescent="0.4">
      <c r="B77" s="527"/>
      <c r="C77" s="528"/>
      <c r="D77" s="528"/>
      <c r="E77" s="528"/>
      <c r="F77" s="528"/>
      <c r="G77" s="528"/>
      <c r="H77" s="528"/>
      <c r="I77" s="528"/>
      <c r="J77" s="528"/>
      <c r="K77" s="528"/>
      <c r="L77" s="528"/>
      <c r="M77" s="528"/>
      <c r="N77" s="528"/>
    </row>
    <row r="78" spans="2:14" s="15" customFormat="1" ht="20.25" customHeight="1" x14ac:dyDescent="0.25">
      <c r="B78" s="116" t="s">
        <v>160</v>
      </c>
      <c r="C78" s="506"/>
      <c r="D78" s="506"/>
      <c r="E78" s="506"/>
      <c r="F78" s="506"/>
      <c r="G78" s="506"/>
      <c r="H78" s="506"/>
      <c r="I78" s="506"/>
      <c r="J78" s="506"/>
      <c r="K78" s="506"/>
      <c r="L78" s="506"/>
      <c r="M78" s="506"/>
      <c r="N78" s="506"/>
    </row>
    <row r="79" spans="2:14" s="15" customFormat="1" ht="20.25" customHeight="1" x14ac:dyDescent="0.25">
      <c r="B79" s="116" t="s">
        <v>657</v>
      </c>
      <c r="C79" s="506"/>
      <c r="D79" s="506"/>
      <c r="E79" s="506"/>
      <c r="F79" s="506"/>
      <c r="G79" s="506"/>
      <c r="H79" s="506"/>
      <c r="I79" s="506"/>
      <c r="J79" s="506"/>
      <c r="K79" s="506"/>
      <c r="L79" s="506"/>
      <c r="M79" s="506"/>
      <c r="N79" s="506"/>
    </row>
    <row r="80" spans="2:14" ht="21" customHeight="1" x14ac:dyDescent="0.2">
      <c r="B80" s="43"/>
    </row>
    <row r="81" spans="2:2" ht="21" customHeight="1" x14ac:dyDescent="0.2">
      <c r="B81" s="42"/>
    </row>
  </sheetData>
  <mergeCells count="1">
    <mergeCell ref="B5:N5"/>
  </mergeCells>
  <hyperlinks>
    <hyperlink ref="N2" location="'Cover '!A1" display="Back to Cover" xr:uid="{00000000-0004-0000-0500-000000000000}"/>
  </hyperlinks>
  <printOptions horizontalCentered="1" verticalCentered="1"/>
  <pageMargins left="0" right="0" top="0" bottom="0" header="0" footer="0"/>
  <pageSetup paperSize="8" scale="61" orientation="portrait" r:id="rId1"/>
  <headerFooter alignWithMargins="0"/>
  <ignoredErrors>
    <ignoredError sqref="L72:N73" formula="1"/>
  </ignoredError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8E4A19-A266-4852-887B-A53652914792}">
  <sheetPr>
    <pageSetUpPr fitToPage="1"/>
  </sheetPr>
  <dimension ref="A1:V57"/>
  <sheetViews>
    <sheetView showGridLines="0" view="pageBreakPreview" zoomScale="85" zoomScaleNormal="90" zoomScaleSheetLayoutView="85" workbookViewId="0">
      <selection activeCell="B5" sqref="B5:N5"/>
    </sheetView>
  </sheetViews>
  <sheetFormatPr defaultColWidth="9.109375" defaultRowHeight="15" customHeight="1" x14ac:dyDescent="0.45"/>
  <cols>
    <col min="1" max="1" width="2.44140625" style="20" customWidth="1"/>
    <col min="2" max="2" width="46.33203125" style="20" customWidth="1"/>
    <col min="3" max="14" width="14.5546875" style="22" customWidth="1"/>
    <col min="15" max="15" width="2.44140625" style="20" customWidth="1"/>
    <col min="16" max="16" width="19.109375" style="86" customWidth="1"/>
    <col min="17" max="17" width="19.88671875" style="86" bestFit="1" customWidth="1"/>
    <col min="18" max="19" width="12.109375" style="20" bestFit="1" customWidth="1"/>
    <col min="20" max="16384" width="9.109375" style="20"/>
  </cols>
  <sheetData>
    <row r="1" spans="1:19" s="23" customFormat="1" ht="15.75" customHeight="1" x14ac:dyDescent="0.45">
      <c r="B1" s="497"/>
      <c r="C1" s="497"/>
      <c r="D1" s="497"/>
      <c r="E1" s="497"/>
      <c r="F1" s="497"/>
      <c r="G1" s="497"/>
      <c r="H1" s="497"/>
      <c r="I1" s="497"/>
      <c r="J1" s="497"/>
      <c r="K1" s="497"/>
      <c r="L1" s="497"/>
      <c r="M1" s="497"/>
      <c r="N1" s="497"/>
      <c r="P1" s="84"/>
      <c r="Q1" s="84"/>
    </row>
    <row r="2" spans="1:19" s="23" customFormat="1" ht="15.75" customHeight="1" x14ac:dyDescent="0.45">
      <c r="B2" s="497"/>
      <c r="C2" s="522"/>
      <c r="D2" s="522"/>
      <c r="E2" s="522"/>
      <c r="F2" s="522"/>
      <c r="G2" s="522"/>
      <c r="H2" s="522"/>
      <c r="I2" s="522"/>
      <c r="J2" s="522"/>
      <c r="K2" s="522"/>
      <c r="L2" s="522"/>
      <c r="M2" s="522"/>
      <c r="N2" s="498" t="s">
        <v>18</v>
      </c>
      <c r="P2" s="84"/>
      <c r="Q2" s="84"/>
    </row>
    <row r="3" spans="1:19" s="23" customFormat="1" ht="15.75" customHeight="1" x14ac:dyDescent="0.45">
      <c r="B3" s="497"/>
      <c r="C3" s="497"/>
      <c r="D3" s="497"/>
      <c r="E3" s="497"/>
      <c r="F3" s="497"/>
      <c r="G3" s="497"/>
      <c r="H3" s="497"/>
      <c r="I3" s="497"/>
      <c r="J3" s="497"/>
      <c r="K3" s="497"/>
      <c r="L3" s="497"/>
      <c r="M3" s="497"/>
      <c r="N3" s="497"/>
      <c r="P3" s="84"/>
      <c r="Q3" s="84"/>
    </row>
    <row r="4" spans="1:19" s="24" customFormat="1" ht="15.75" customHeight="1" x14ac:dyDescent="0.45">
      <c r="B4" s="499"/>
      <c r="C4" s="499"/>
      <c r="D4" s="499"/>
      <c r="E4" s="499"/>
      <c r="F4" s="499"/>
      <c r="G4" s="499"/>
      <c r="H4" s="499"/>
      <c r="I4" s="499"/>
      <c r="J4" s="499"/>
      <c r="K4" s="499"/>
      <c r="L4" s="499"/>
      <c r="M4" s="499"/>
      <c r="N4" s="499"/>
      <c r="P4" s="85"/>
      <c r="Q4" s="85"/>
    </row>
    <row r="5" spans="1:19" ht="27.6" x14ac:dyDescent="0.45">
      <c r="A5" s="16"/>
      <c r="B5" s="1044" t="s">
        <v>109</v>
      </c>
      <c r="C5" s="1044"/>
      <c r="D5" s="1044"/>
      <c r="E5" s="1044"/>
      <c r="F5" s="1044"/>
      <c r="G5" s="1044"/>
      <c r="H5" s="1044"/>
      <c r="I5" s="1044"/>
      <c r="J5" s="1044"/>
      <c r="K5" s="1044"/>
      <c r="L5" s="1044"/>
      <c r="M5" s="1044"/>
      <c r="N5" s="1044"/>
    </row>
    <row r="6" spans="1:19" ht="9" customHeight="1" x14ac:dyDescent="0.45">
      <c r="A6" s="16"/>
      <c r="B6" s="119"/>
      <c r="C6" s="119"/>
      <c r="D6" s="119"/>
      <c r="E6" s="119"/>
      <c r="F6" s="119"/>
      <c r="G6" s="119"/>
      <c r="H6" s="119"/>
      <c r="I6" s="119"/>
      <c r="J6" s="119"/>
      <c r="K6" s="119"/>
      <c r="L6" s="119"/>
      <c r="M6" s="119"/>
      <c r="N6" s="119"/>
    </row>
    <row r="7" spans="1:19" ht="11.25" customHeight="1" x14ac:dyDescent="0.45">
      <c r="A7" s="18"/>
      <c r="B7" s="454"/>
      <c r="C7" s="454"/>
      <c r="D7" s="454"/>
      <c r="E7" s="454"/>
      <c r="F7" s="454"/>
      <c r="G7" s="454"/>
      <c r="H7" s="454"/>
      <c r="I7" s="454"/>
      <c r="J7" s="454"/>
      <c r="K7" s="454"/>
      <c r="L7" s="454"/>
      <c r="M7" s="454"/>
      <c r="N7" s="454"/>
    </row>
    <row r="8" spans="1:19" s="23" customFormat="1" ht="11.25" customHeight="1" x14ac:dyDescent="0.45">
      <c r="B8" s="497"/>
      <c r="C8" s="500"/>
      <c r="D8" s="500"/>
      <c r="E8" s="500"/>
      <c r="F8" s="500"/>
      <c r="G8" s="500"/>
      <c r="H8" s="500"/>
      <c r="I8" s="500"/>
      <c r="J8" s="500"/>
      <c r="K8" s="500"/>
      <c r="L8" s="500"/>
      <c r="M8" s="500"/>
      <c r="N8" s="500"/>
      <c r="P8" s="84"/>
      <c r="Q8" s="84"/>
    </row>
    <row r="9" spans="1:19" s="23" customFormat="1" ht="22.5" customHeight="1" x14ac:dyDescent="0.45">
      <c r="B9" s="507" t="s">
        <v>92</v>
      </c>
      <c r="C9" s="508">
        <v>45016</v>
      </c>
      <c r="D9" s="508">
        <v>45107</v>
      </c>
      <c r="E9" s="508">
        <v>45199</v>
      </c>
      <c r="F9" s="508">
        <v>45291</v>
      </c>
      <c r="G9" s="508">
        <v>45382</v>
      </c>
      <c r="H9" s="508">
        <v>45473</v>
      </c>
      <c r="I9" s="508">
        <v>45565</v>
      </c>
      <c r="J9" s="508">
        <v>45657</v>
      </c>
      <c r="K9" s="508">
        <v>45747</v>
      </c>
      <c r="L9" s="508">
        <v>45838</v>
      </c>
      <c r="M9" s="521">
        <v>45930</v>
      </c>
      <c r="N9" s="509">
        <v>46022</v>
      </c>
      <c r="P9" s="84"/>
      <c r="Q9" s="84"/>
    </row>
    <row r="10" spans="1:19" s="25" customFormat="1" ht="22.5" customHeight="1" x14ac:dyDescent="0.45">
      <c r="B10" s="510" t="s">
        <v>252</v>
      </c>
      <c r="C10" s="504">
        <v>28129.292289959998</v>
      </c>
      <c r="D10" s="504">
        <v>28654.617957729999</v>
      </c>
      <c r="E10" s="511">
        <v>28978.402439199999</v>
      </c>
      <c r="F10" s="504">
        <v>30230.87074523</v>
      </c>
      <c r="G10" s="504">
        <v>29054.406812539997</v>
      </c>
      <c r="H10" s="511">
        <v>30209.86888967</v>
      </c>
      <c r="I10" s="511">
        <v>30810.177918440004</v>
      </c>
      <c r="J10" s="511">
        <v>33276.284999199997</v>
      </c>
      <c r="K10" s="511">
        <v>34023.680784379998</v>
      </c>
      <c r="L10" s="511">
        <v>34221.24159215</v>
      </c>
      <c r="M10" s="932">
        <v>34948.08770394</v>
      </c>
      <c r="N10" s="512">
        <v>36022.180149499996</v>
      </c>
      <c r="P10" s="87"/>
      <c r="Q10" s="724"/>
      <c r="R10" s="74"/>
      <c r="S10" s="75"/>
    </row>
    <row r="11" spans="1:19" s="25" customFormat="1" ht="22.5" customHeight="1" x14ac:dyDescent="0.45">
      <c r="B11" s="514" t="s">
        <v>82</v>
      </c>
      <c r="C11" s="505">
        <v>24426.348223639998</v>
      </c>
      <c r="D11" s="505">
        <v>25064.457715209999</v>
      </c>
      <c r="E11" s="515">
        <v>25731.94263455</v>
      </c>
      <c r="F11" s="505">
        <v>27558.26636704</v>
      </c>
      <c r="G11" s="505">
        <v>26450.677390919998</v>
      </c>
      <c r="H11" s="515">
        <v>27746.137670370001</v>
      </c>
      <c r="I11" s="515">
        <v>28598.290656970003</v>
      </c>
      <c r="J11" s="515">
        <v>31226.815425860001</v>
      </c>
      <c r="K11" s="515">
        <v>32104.24333935</v>
      </c>
      <c r="L11" s="515">
        <v>32455.167390490002</v>
      </c>
      <c r="M11" s="933">
        <v>33070.705288960002</v>
      </c>
      <c r="N11" s="516">
        <v>34333.209669819997</v>
      </c>
      <c r="P11" s="88"/>
      <c r="Q11" s="725"/>
    </row>
    <row r="12" spans="1:19" s="25" customFormat="1" ht="22.5" customHeight="1" x14ac:dyDescent="0.45">
      <c r="B12" s="514" t="s">
        <v>83</v>
      </c>
      <c r="C12" s="505">
        <v>1814.3409599000001</v>
      </c>
      <c r="D12" s="505">
        <v>1817.3229582000001</v>
      </c>
      <c r="E12" s="515">
        <v>1533.9733158299998</v>
      </c>
      <c r="F12" s="505">
        <v>1510.5449838699999</v>
      </c>
      <c r="G12" s="505">
        <v>1494.5605430399999</v>
      </c>
      <c r="H12" s="515">
        <v>1428.2427050699998</v>
      </c>
      <c r="I12" s="515">
        <v>1205.8331252799999</v>
      </c>
      <c r="J12" s="515">
        <v>1127.15963119</v>
      </c>
      <c r="K12" s="515">
        <v>1007.90763089</v>
      </c>
      <c r="L12" s="515">
        <v>879.08055585</v>
      </c>
      <c r="M12" s="933">
        <v>1001.37589903</v>
      </c>
      <c r="N12" s="516">
        <v>1035.93610601</v>
      </c>
      <c r="P12" s="88"/>
      <c r="Q12" s="725"/>
    </row>
    <row r="13" spans="1:19" s="25" customFormat="1" ht="22.5" customHeight="1" x14ac:dyDescent="0.45">
      <c r="B13" s="530" t="s">
        <v>383</v>
      </c>
      <c r="C13" s="505">
        <v>1717.2322469899993</v>
      </c>
      <c r="D13" s="505">
        <v>1603.2801201000009</v>
      </c>
      <c r="E13" s="515">
        <v>1567.7925756899999</v>
      </c>
      <c r="F13" s="505">
        <v>1011.1601057200002</v>
      </c>
      <c r="G13" s="505">
        <v>965.3601638699995</v>
      </c>
      <c r="H13" s="515">
        <v>892.60002607000104</v>
      </c>
      <c r="I13" s="515">
        <v>867.35167760999889</v>
      </c>
      <c r="J13" s="515">
        <v>790.49038842000073</v>
      </c>
      <c r="K13" s="515">
        <v>782.58494225999959</v>
      </c>
      <c r="L13" s="515">
        <v>759.11511202000031</v>
      </c>
      <c r="M13" s="933">
        <v>749.77718082000024</v>
      </c>
      <c r="N13" s="516">
        <v>536.52142165999987</v>
      </c>
      <c r="P13" s="87"/>
      <c r="Q13" s="756"/>
    </row>
    <row r="14" spans="1:19" s="25" customFormat="1" ht="22.5" customHeight="1" x14ac:dyDescent="0.45">
      <c r="B14" s="530" t="s">
        <v>382</v>
      </c>
      <c r="C14" s="505">
        <v>171.37085943000079</v>
      </c>
      <c r="D14" s="505">
        <v>169.55716421999909</v>
      </c>
      <c r="E14" s="515">
        <v>144.69391313000028</v>
      </c>
      <c r="F14" s="505">
        <v>150.89928859999998</v>
      </c>
      <c r="G14" s="505">
        <v>143.80871471000046</v>
      </c>
      <c r="H14" s="515">
        <v>142.88848815999893</v>
      </c>
      <c r="I14" s="515">
        <v>138.70245858000101</v>
      </c>
      <c r="J14" s="515">
        <v>131.81955372999926</v>
      </c>
      <c r="K14" s="515">
        <v>128.94487188000039</v>
      </c>
      <c r="L14" s="515">
        <v>127.87853378999966</v>
      </c>
      <c r="M14" s="933">
        <v>126.22933512999975</v>
      </c>
      <c r="N14" s="516">
        <v>116.51295201000005</v>
      </c>
      <c r="P14" s="87"/>
      <c r="Q14" s="724"/>
    </row>
    <row r="15" spans="1:19" s="25" customFormat="1" ht="22.5" customHeight="1" x14ac:dyDescent="0.45">
      <c r="B15" s="510" t="s">
        <v>93</v>
      </c>
      <c r="C15" s="504">
        <v>6756.4819082599997</v>
      </c>
      <c r="D15" s="504">
        <v>6518.34613446</v>
      </c>
      <c r="E15" s="511">
        <v>6475.3956019699999</v>
      </c>
      <c r="F15" s="504">
        <v>6453.7158388899998</v>
      </c>
      <c r="G15" s="504">
        <v>6424.8504618399993</v>
      </c>
      <c r="H15" s="511">
        <v>6419.8970501899994</v>
      </c>
      <c r="I15" s="511">
        <v>6420.6904380799997</v>
      </c>
      <c r="J15" s="511">
        <v>6304.4755633800005</v>
      </c>
      <c r="K15" s="511">
        <v>6251.3679509099993</v>
      </c>
      <c r="L15" s="511">
        <v>6274.40029125</v>
      </c>
      <c r="M15" s="932">
        <v>6318.6098257599997</v>
      </c>
      <c r="N15" s="512">
        <v>6416.9371658499995</v>
      </c>
      <c r="P15" s="87"/>
      <c r="Q15" s="755"/>
    </row>
    <row r="16" spans="1:19" s="25" customFormat="1" ht="22.5" customHeight="1" x14ac:dyDescent="0.45">
      <c r="B16" s="514" t="s">
        <v>82</v>
      </c>
      <c r="C16" s="505">
        <v>4494.7538112299999</v>
      </c>
      <c r="D16" s="505">
        <v>4455.5179153199997</v>
      </c>
      <c r="E16" s="515">
        <v>4424.7336493299999</v>
      </c>
      <c r="F16" s="505">
        <v>4431.0861395699994</v>
      </c>
      <c r="G16" s="505">
        <v>4471.78187256</v>
      </c>
      <c r="H16" s="515">
        <v>4602.3476285699999</v>
      </c>
      <c r="I16" s="515">
        <v>4555.1831887799999</v>
      </c>
      <c r="J16" s="515">
        <v>4550.3185505500005</v>
      </c>
      <c r="K16" s="515">
        <v>4425.80173483</v>
      </c>
      <c r="L16" s="515">
        <v>4561.7634293599995</v>
      </c>
      <c r="M16" s="933">
        <v>4656.4390249799999</v>
      </c>
      <c r="N16" s="516">
        <v>4770.0945161199998</v>
      </c>
      <c r="P16" s="87"/>
      <c r="Q16" s="725"/>
    </row>
    <row r="17" spans="2:22" s="25" customFormat="1" ht="22.5" customHeight="1" x14ac:dyDescent="0.45">
      <c r="B17" s="514" t="s">
        <v>83</v>
      </c>
      <c r="C17" s="505">
        <v>1600.5626412199999</v>
      </c>
      <c r="D17" s="505">
        <v>1544.21900231</v>
      </c>
      <c r="E17" s="515">
        <v>1513.8301326800001</v>
      </c>
      <c r="F17" s="505">
        <v>1514.14759596</v>
      </c>
      <c r="G17" s="505">
        <v>1436.0803217600001</v>
      </c>
      <c r="H17" s="515">
        <v>1281.60644471</v>
      </c>
      <c r="I17" s="515">
        <v>1318.4221936700001</v>
      </c>
      <c r="J17" s="515">
        <v>1305.1338567400001</v>
      </c>
      <c r="K17" s="515">
        <v>1357.6292071199998</v>
      </c>
      <c r="L17" s="515">
        <v>1236.1824205999999</v>
      </c>
      <c r="M17" s="933">
        <v>1173.33663656</v>
      </c>
      <c r="N17" s="516">
        <v>1076.7518677</v>
      </c>
      <c r="P17" s="88"/>
      <c r="Q17" s="725"/>
    </row>
    <row r="18" spans="2:22" s="25" customFormat="1" ht="22.5" customHeight="1" x14ac:dyDescent="0.45">
      <c r="B18" s="530" t="s">
        <v>521</v>
      </c>
      <c r="C18" s="505">
        <v>397.31858242999988</v>
      </c>
      <c r="D18" s="505">
        <v>256.90012403000009</v>
      </c>
      <c r="E18" s="515">
        <v>278.92382209999994</v>
      </c>
      <c r="F18" s="505">
        <v>250.86878684000004</v>
      </c>
      <c r="G18" s="505">
        <v>263.76310561000003</v>
      </c>
      <c r="H18" s="515">
        <v>287.35614193000004</v>
      </c>
      <c r="I18" s="515">
        <v>300.77074230000011</v>
      </c>
      <c r="J18" s="515">
        <v>207.13772509999976</v>
      </c>
      <c r="K18" s="515">
        <v>231.37460118999977</v>
      </c>
      <c r="L18" s="515">
        <v>242.77230908999991</v>
      </c>
      <c r="M18" s="933">
        <v>261.10867868999992</v>
      </c>
      <c r="N18" s="516">
        <v>369.8831016800001</v>
      </c>
      <c r="P18" s="88"/>
      <c r="Q18" s="724"/>
    </row>
    <row r="19" spans="2:22" s="25" customFormat="1" ht="22.5" customHeight="1" x14ac:dyDescent="0.45">
      <c r="B19" s="530" t="s">
        <v>382</v>
      </c>
      <c r="C19" s="505">
        <v>263.84687338000003</v>
      </c>
      <c r="D19" s="505">
        <v>261.70909279999995</v>
      </c>
      <c r="E19" s="515">
        <v>257.90799786000014</v>
      </c>
      <c r="F19" s="505">
        <v>257.61331651999996</v>
      </c>
      <c r="G19" s="505">
        <v>253.22516191</v>
      </c>
      <c r="H19" s="515">
        <v>248.58683497999994</v>
      </c>
      <c r="I19" s="515">
        <v>246.31431332999983</v>
      </c>
      <c r="J19" s="515">
        <v>241.88543099000029</v>
      </c>
      <c r="K19" s="515">
        <v>236.56240777000025</v>
      </c>
      <c r="L19" s="515">
        <v>233.68213220000007</v>
      </c>
      <c r="M19" s="933">
        <v>227.72548553000013</v>
      </c>
      <c r="N19" s="516">
        <v>200.20768034999992</v>
      </c>
      <c r="P19" s="87"/>
      <c r="Q19" s="724"/>
    </row>
    <row r="20" spans="2:22" s="25" customFormat="1" ht="22.5" customHeight="1" x14ac:dyDescent="0.45">
      <c r="B20" s="510" t="s">
        <v>112</v>
      </c>
      <c r="C20" s="504">
        <v>1875.52845314</v>
      </c>
      <c r="D20" s="504">
        <v>1751.83663368</v>
      </c>
      <c r="E20" s="511">
        <v>1781.2178743100001</v>
      </c>
      <c r="F20" s="504">
        <v>1661.0325663599999</v>
      </c>
      <c r="G20" s="504">
        <v>1668.6362920800002</v>
      </c>
      <c r="H20" s="511">
        <v>1718.3245323199999</v>
      </c>
      <c r="I20" s="511">
        <v>1754.77974571</v>
      </c>
      <c r="J20" s="511">
        <v>1794.6513429799998</v>
      </c>
      <c r="K20" s="511">
        <v>1776.67305698</v>
      </c>
      <c r="L20" s="511">
        <v>1840.7506638300001</v>
      </c>
      <c r="M20" s="932">
        <v>1887.7544112</v>
      </c>
      <c r="N20" s="512">
        <v>1850.23909011</v>
      </c>
      <c r="P20" s="87"/>
      <c r="Q20" s="724"/>
    </row>
    <row r="21" spans="2:22" s="25" customFormat="1" ht="22.5" customHeight="1" x14ac:dyDescent="0.45">
      <c r="B21" s="514" t="s">
        <v>82</v>
      </c>
      <c r="C21" s="505">
        <v>1207.80175927</v>
      </c>
      <c r="D21" s="505">
        <v>1243.88013501</v>
      </c>
      <c r="E21" s="515">
        <v>1276.21293466</v>
      </c>
      <c r="F21" s="505">
        <v>1225.54324655</v>
      </c>
      <c r="G21" s="505">
        <v>1206.86784354</v>
      </c>
      <c r="H21" s="515">
        <v>1265.06172436</v>
      </c>
      <c r="I21" s="515">
        <v>1328.75462922</v>
      </c>
      <c r="J21" s="515">
        <v>1388.56498278</v>
      </c>
      <c r="K21" s="515">
        <v>1352.2713038500001</v>
      </c>
      <c r="L21" s="515">
        <v>1474.1152585600003</v>
      </c>
      <c r="M21" s="933">
        <v>1535.4934685599999</v>
      </c>
      <c r="N21" s="516">
        <v>1473.7303206199999</v>
      </c>
      <c r="P21" s="87"/>
      <c r="Q21" s="725"/>
    </row>
    <row r="22" spans="2:22" s="25" customFormat="1" ht="22.5" customHeight="1" x14ac:dyDescent="0.45">
      <c r="B22" s="514" t="s">
        <v>83</v>
      </c>
      <c r="C22" s="505">
        <v>344.71123091999999</v>
      </c>
      <c r="D22" s="505">
        <v>325.81061890000001</v>
      </c>
      <c r="E22" s="515">
        <v>314.12507239000001</v>
      </c>
      <c r="F22" s="505">
        <v>320.8381468</v>
      </c>
      <c r="G22" s="505">
        <v>342.59777213000001</v>
      </c>
      <c r="H22" s="515">
        <v>325.89311838000003</v>
      </c>
      <c r="I22" s="515">
        <v>290.03334403000002</v>
      </c>
      <c r="J22" s="515">
        <v>294.60858523000002</v>
      </c>
      <c r="K22" s="515">
        <v>301.56070090999998</v>
      </c>
      <c r="L22" s="515">
        <v>238.24711989000002</v>
      </c>
      <c r="M22" s="933">
        <v>219.18649539</v>
      </c>
      <c r="N22" s="516">
        <v>237.36463514000002</v>
      </c>
      <c r="P22" s="87"/>
      <c r="Q22" s="725"/>
    </row>
    <row r="23" spans="2:22" s="25" customFormat="1" ht="22.5" customHeight="1" x14ac:dyDescent="0.45">
      <c r="B23" s="530" t="s">
        <v>383</v>
      </c>
      <c r="C23" s="505">
        <v>270.15212166999987</v>
      </c>
      <c r="D23" s="505">
        <v>131.17672092999976</v>
      </c>
      <c r="E23" s="515">
        <v>141.38426670999996</v>
      </c>
      <c r="F23" s="505">
        <v>67.058541560000108</v>
      </c>
      <c r="G23" s="505">
        <v>73.282378920000014</v>
      </c>
      <c r="H23" s="515">
        <v>83.310257430000007</v>
      </c>
      <c r="I23" s="515">
        <v>93.471616549999965</v>
      </c>
      <c r="J23" s="515">
        <v>70.115875700000004</v>
      </c>
      <c r="K23" s="515">
        <v>82.936679249999969</v>
      </c>
      <c r="L23" s="515">
        <v>90.077340829999955</v>
      </c>
      <c r="M23" s="933">
        <v>96.23565817000005</v>
      </c>
      <c r="N23" s="516">
        <v>101.80194143999989</v>
      </c>
      <c r="P23" s="87"/>
      <c r="Q23" s="724"/>
    </row>
    <row r="24" spans="2:22" s="25" customFormat="1" ht="22.5" customHeight="1" x14ac:dyDescent="0.45">
      <c r="B24" s="530" t="s">
        <v>382</v>
      </c>
      <c r="C24" s="505">
        <v>52.863341280000157</v>
      </c>
      <c r="D24" s="505">
        <v>50.969158840000262</v>
      </c>
      <c r="E24" s="515">
        <v>49.495600550000034</v>
      </c>
      <c r="F24" s="505">
        <v>47.592631449999885</v>
      </c>
      <c r="G24" s="505">
        <v>45.888297489999985</v>
      </c>
      <c r="H24" s="515">
        <v>44.059432149999992</v>
      </c>
      <c r="I24" s="515">
        <v>42.520155910000028</v>
      </c>
      <c r="J24" s="515">
        <v>41.361899269999981</v>
      </c>
      <c r="K24" s="515">
        <v>39.904372970000026</v>
      </c>
      <c r="L24" s="515">
        <v>38.310944550000059</v>
      </c>
      <c r="M24" s="933">
        <v>36.838789079999941</v>
      </c>
      <c r="N24" s="516">
        <v>37.342192910000108</v>
      </c>
      <c r="P24" s="87"/>
      <c r="Q24" s="754"/>
    </row>
    <row r="25" spans="2:22" s="25" customFormat="1" ht="22.5" customHeight="1" x14ac:dyDescent="0.4">
      <c r="B25" s="510" t="s">
        <v>94</v>
      </c>
      <c r="C25" s="504">
        <v>36761.302651340004</v>
      </c>
      <c r="D25" s="504">
        <v>36924.800725870002</v>
      </c>
      <c r="E25" s="511">
        <v>37235.0159155</v>
      </c>
      <c r="F25" s="504">
        <v>38345.619150489998</v>
      </c>
      <c r="G25" s="504">
        <v>37147.893566459999</v>
      </c>
      <c r="H25" s="511">
        <v>38348.090472169999</v>
      </c>
      <c r="I25" s="511">
        <v>38985.648102250001</v>
      </c>
      <c r="J25" s="511">
        <v>41375.411905560002</v>
      </c>
      <c r="K25" s="511">
        <v>42051.721792260003</v>
      </c>
      <c r="L25" s="511">
        <v>42336.392547250005</v>
      </c>
      <c r="M25" s="932">
        <v>43154.451940909996</v>
      </c>
      <c r="N25" s="512">
        <v>44289.356405459992</v>
      </c>
      <c r="P25" s="675"/>
      <c r="Q25" s="1010"/>
      <c r="R25" s="52"/>
      <c r="T25" s="76"/>
      <c r="V25" s="52"/>
    </row>
    <row r="26" spans="2:22" s="25" customFormat="1" ht="22.5" customHeight="1" x14ac:dyDescent="0.4">
      <c r="B26" s="514" t="s">
        <v>82</v>
      </c>
      <c r="C26" s="505">
        <v>30128.903794139998</v>
      </c>
      <c r="D26" s="505">
        <v>30763.85576554</v>
      </c>
      <c r="E26" s="515">
        <v>31432.889218550001</v>
      </c>
      <c r="F26" s="505">
        <v>33214.895753149998</v>
      </c>
      <c r="G26" s="505">
        <v>32129.327107009998</v>
      </c>
      <c r="H26" s="515">
        <v>33613.547023300001</v>
      </c>
      <c r="I26" s="515">
        <v>34482.228474980002</v>
      </c>
      <c r="J26" s="515">
        <v>37165.698959190006</v>
      </c>
      <c r="K26" s="515">
        <v>37882.316378030002</v>
      </c>
      <c r="L26" s="515">
        <v>38491.046078410007</v>
      </c>
      <c r="M26" s="933">
        <v>39262.637782489997</v>
      </c>
      <c r="N26" s="516">
        <v>40577.034506559998</v>
      </c>
      <c r="P26" s="675"/>
      <c r="Q26" s="1010"/>
      <c r="R26" s="52"/>
      <c r="T26" s="76"/>
      <c r="V26" s="52"/>
    </row>
    <row r="27" spans="2:22" s="25" customFormat="1" ht="22.5" customHeight="1" x14ac:dyDescent="0.45">
      <c r="B27" s="514" t="s">
        <v>83</v>
      </c>
      <c r="C27" s="505">
        <v>3759.6148320300003</v>
      </c>
      <c r="D27" s="505">
        <v>3687.35257942</v>
      </c>
      <c r="E27" s="515">
        <v>3361.9285209099999</v>
      </c>
      <c r="F27" s="505">
        <v>3345.53072664</v>
      </c>
      <c r="G27" s="505">
        <v>3273.2386369400001</v>
      </c>
      <c r="H27" s="515">
        <v>3035.7422681599996</v>
      </c>
      <c r="I27" s="515">
        <v>2814.2886629899999</v>
      </c>
      <c r="J27" s="515">
        <v>2726.90207315</v>
      </c>
      <c r="K27" s="515">
        <v>2667.0975389200003</v>
      </c>
      <c r="L27" s="515">
        <v>2353.5100963499999</v>
      </c>
      <c r="M27" s="933">
        <v>2393.8990309899996</v>
      </c>
      <c r="N27" s="516">
        <v>2350.0526088500001</v>
      </c>
      <c r="O27" s="48"/>
      <c r="P27" s="87"/>
      <c r="Q27" s="1010"/>
      <c r="R27" s="76"/>
      <c r="T27" s="76"/>
      <c r="V27" s="52"/>
    </row>
    <row r="28" spans="2:22" s="25" customFormat="1" ht="22.5" customHeight="1" x14ac:dyDescent="0.4">
      <c r="B28" s="530" t="s">
        <v>383</v>
      </c>
      <c r="C28" s="505">
        <v>2384.7029510899988</v>
      </c>
      <c r="D28" s="505">
        <v>1991.3569650600007</v>
      </c>
      <c r="E28" s="515">
        <v>1988.1006645</v>
      </c>
      <c r="F28" s="505">
        <v>1329.0874341200004</v>
      </c>
      <c r="G28" s="505">
        <v>1302.4056483999996</v>
      </c>
      <c r="H28" s="515">
        <v>1263.2664254300012</v>
      </c>
      <c r="I28" s="515">
        <v>1261.594036459999</v>
      </c>
      <c r="J28" s="515">
        <v>1067.7439892200005</v>
      </c>
      <c r="K28" s="515">
        <v>1096.8962226999993</v>
      </c>
      <c r="L28" s="515">
        <v>1091.9647619400002</v>
      </c>
      <c r="M28" s="933">
        <v>1107.1215176800001</v>
      </c>
      <c r="N28" s="516">
        <v>1008.2064647799999</v>
      </c>
      <c r="O28" s="48"/>
      <c r="P28" s="515"/>
      <c r="Q28" s="1010"/>
      <c r="R28" s="76"/>
      <c r="S28" s="674"/>
      <c r="T28" s="76"/>
      <c r="V28" s="52"/>
    </row>
    <row r="29" spans="2:22" s="25" customFormat="1" ht="22.5" customHeight="1" x14ac:dyDescent="0.45">
      <c r="B29" s="542" t="s">
        <v>382</v>
      </c>
      <c r="C29" s="543">
        <v>488.08107408000114</v>
      </c>
      <c r="D29" s="543">
        <v>482.2354158499993</v>
      </c>
      <c r="E29" s="544">
        <v>452.09751153999991</v>
      </c>
      <c r="F29" s="543">
        <v>456.10523657999966</v>
      </c>
      <c r="G29" s="543">
        <v>442.92217411000024</v>
      </c>
      <c r="H29" s="544">
        <v>435.53475527999876</v>
      </c>
      <c r="I29" s="544">
        <v>427.53692782000121</v>
      </c>
      <c r="J29" s="544">
        <v>415.06688399999962</v>
      </c>
      <c r="K29" s="544">
        <v>405.4116526100006</v>
      </c>
      <c r="L29" s="544">
        <v>399.87161054999979</v>
      </c>
      <c r="M29" s="934">
        <v>390.79360974999986</v>
      </c>
      <c r="N29" s="545">
        <v>354.06282526999996</v>
      </c>
      <c r="P29" s="87"/>
      <c r="Q29" s="1010"/>
      <c r="R29" s="76"/>
      <c r="T29" s="76"/>
      <c r="V29" s="52"/>
    </row>
    <row r="30" spans="2:22" s="26" customFormat="1" ht="8.25" customHeight="1" x14ac:dyDescent="0.45">
      <c r="B30" s="527"/>
      <c r="C30" s="537"/>
      <c r="D30" s="537"/>
      <c r="E30" s="537"/>
      <c r="F30" s="537"/>
      <c r="G30" s="537"/>
      <c r="H30" s="537"/>
      <c r="I30" s="537"/>
      <c r="J30" s="537"/>
      <c r="K30" s="537"/>
      <c r="L30" s="537"/>
      <c r="M30" s="537"/>
      <c r="N30" s="528"/>
      <c r="P30" s="85"/>
      <c r="Q30" s="85"/>
    </row>
    <row r="31" spans="2:22" s="19" customFormat="1" ht="22.5" customHeight="1" x14ac:dyDescent="0.25">
      <c r="B31" s="507" t="s">
        <v>95</v>
      </c>
      <c r="C31" s="508">
        <v>45016</v>
      </c>
      <c r="D31" s="508">
        <v>45107</v>
      </c>
      <c r="E31" s="508">
        <v>45199</v>
      </c>
      <c r="F31" s="508">
        <v>45291</v>
      </c>
      <c r="G31" s="508">
        <v>45382</v>
      </c>
      <c r="H31" s="508">
        <v>45473</v>
      </c>
      <c r="I31" s="508">
        <v>45565</v>
      </c>
      <c r="J31" s="508">
        <v>45657</v>
      </c>
      <c r="K31" s="508">
        <v>45747</v>
      </c>
      <c r="L31" s="508">
        <v>45838</v>
      </c>
      <c r="M31" s="521">
        <v>45930</v>
      </c>
      <c r="N31" s="509">
        <v>46022</v>
      </c>
      <c r="P31" s="89"/>
      <c r="Q31" s="89"/>
    </row>
    <row r="32" spans="2:22" ht="22.5" customHeight="1" x14ac:dyDescent="0.45">
      <c r="B32" s="510" t="s">
        <v>252</v>
      </c>
      <c r="C32" s="504">
        <v>1049.1559046612622</v>
      </c>
      <c r="D32" s="504">
        <v>989.02409750153788</v>
      </c>
      <c r="E32" s="511">
        <v>986.92921446999992</v>
      </c>
      <c r="F32" s="504">
        <v>697.33245598714404</v>
      </c>
      <c r="G32" s="504">
        <v>656.76279616117142</v>
      </c>
      <c r="H32" s="511">
        <v>608.97681281408836</v>
      </c>
      <c r="I32" s="511">
        <v>621.88808340111132</v>
      </c>
      <c r="J32" s="511">
        <v>565.20967125000004</v>
      </c>
      <c r="K32" s="511">
        <v>556.89478656055894</v>
      </c>
      <c r="L32" s="511">
        <v>542.77385984999989</v>
      </c>
      <c r="M32" s="932">
        <v>543.36259922674662</v>
      </c>
      <c r="N32" s="512">
        <v>403.54549871000006</v>
      </c>
      <c r="P32" s="91"/>
      <c r="Q32" s="91"/>
      <c r="R32" s="77"/>
    </row>
    <row r="33" spans="2:19" ht="22.5" customHeight="1" x14ac:dyDescent="0.45">
      <c r="B33" s="514" t="s">
        <v>82</v>
      </c>
      <c r="C33" s="505">
        <v>32.978039007195953</v>
      </c>
      <c r="D33" s="505">
        <v>37.926002154881957</v>
      </c>
      <c r="E33" s="515">
        <v>41.861538460000006</v>
      </c>
      <c r="F33" s="505">
        <v>35.630178822077404</v>
      </c>
      <c r="G33" s="505">
        <v>36.540559500023313</v>
      </c>
      <c r="H33" s="515">
        <v>36.273413500163279</v>
      </c>
      <c r="I33" s="515">
        <v>33.501330781585338</v>
      </c>
      <c r="J33" s="515">
        <v>37.031325369999998</v>
      </c>
      <c r="K33" s="515">
        <v>36.521238752225273</v>
      </c>
      <c r="L33" s="515">
        <v>34.181134569999998</v>
      </c>
      <c r="M33" s="933">
        <v>37.099886146356788</v>
      </c>
      <c r="N33" s="516">
        <v>44.552463029999998</v>
      </c>
      <c r="P33" s="90"/>
      <c r="Q33" s="91"/>
    </row>
    <row r="34" spans="2:19" ht="22.5" customHeight="1" x14ac:dyDescent="0.45">
      <c r="B34" s="514" t="s">
        <v>83</v>
      </c>
      <c r="C34" s="505">
        <v>75.736577099789329</v>
      </c>
      <c r="D34" s="505">
        <v>71.298873762228112</v>
      </c>
      <c r="E34" s="515">
        <v>60.825876800000003</v>
      </c>
      <c r="F34" s="505">
        <v>61.292396564367159</v>
      </c>
      <c r="G34" s="505">
        <v>58.99289500780845</v>
      </c>
      <c r="H34" s="515">
        <v>58.760437376691975</v>
      </c>
      <c r="I34" s="515">
        <v>52.029095269303888</v>
      </c>
      <c r="J34" s="515">
        <v>40.13089548</v>
      </c>
      <c r="K34" s="515">
        <v>43.188801766555841</v>
      </c>
      <c r="L34" s="515">
        <v>42.741966060000003</v>
      </c>
      <c r="M34" s="933">
        <v>41.105685611235387</v>
      </c>
      <c r="N34" s="516">
        <v>39.932082740000006</v>
      </c>
      <c r="P34" s="90"/>
      <c r="Q34" s="91"/>
    </row>
    <row r="35" spans="2:19" ht="22.5" customHeight="1" x14ac:dyDescent="0.45">
      <c r="B35" s="530" t="s">
        <v>383</v>
      </c>
      <c r="C35" s="505">
        <v>935.93021167999973</v>
      </c>
      <c r="D35" s="505">
        <v>876.38278997000009</v>
      </c>
      <c r="E35" s="515">
        <v>881.33502361000012</v>
      </c>
      <c r="F35" s="505">
        <v>596.69077658000003</v>
      </c>
      <c r="G35" s="505">
        <v>557.49816675</v>
      </c>
      <c r="H35" s="515">
        <v>510.0093169000001</v>
      </c>
      <c r="I35" s="515">
        <v>532.84122085999979</v>
      </c>
      <c r="J35" s="515">
        <v>484.80294848999978</v>
      </c>
      <c r="K35" s="515">
        <v>474.20578319000009</v>
      </c>
      <c r="L35" s="515">
        <v>462.87727217000003</v>
      </c>
      <c r="M35" s="933">
        <v>462.06300588000005</v>
      </c>
      <c r="N35" s="516">
        <v>315.07333456999993</v>
      </c>
      <c r="P35" s="91"/>
      <c r="Q35" s="91"/>
    </row>
    <row r="36" spans="2:19" ht="22.5" customHeight="1" x14ac:dyDescent="0.45">
      <c r="B36" s="530" t="s">
        <v>382</v>
      </c>
      <c r="C36" s="505">
        <v>4.511076874277137</v>
      </c>
      <c r="D36" s="505">
        <v>3.4164316144277791</v>
      </c>
      <c r="E36" s="515">
        <v>2.9067755999998326</v>
      </c>
      <c r="F36" s="505">
        <v>3.719104020699433</v>
      </c>
      <c r="G36" s="505">
        <v>3.7311749033397064</v>
      </c>
      <c r="H36" s="515">
        <v>3.9336450372330205</v>
      </c>
      <c r="I36" s="515">
        <v>3.5164364902223042</v>
      </c>
      <c r="J36" s="515">
        <v>3.2445019100002241</v>
      </c>
      <c r="K36" s="515">
        <v>2.9789628517777942</v>
      </c>
      <c r="L36" s="515">
        <v>2.9734870499999033</v>
      </c>
      <c r="M36" s="933">
        <v>3.0940215891544653</v>
      </c>
      <c r="N36" s="516">
        <v>3.9876183700001206</v>
      </c>
      <c r="P36" s="90"/>
      <c r="Q36" s="91"/>
    </row>
    <row r="37" spans="2:19" ht="22.5" customHeight="1" x14ac:dyDescent="0.45">
      <c r="B37" s="510" t="s">
        <v>93</v>
      </c>
      <c r="C37" s="504">
        <v>89.259121999929746</v>
      </c>
      <c r="D37" s="504">
        <v>47.792738938082778</v>
      </c>
      <c r="E37" s="511">
        <v>50.083827849999999</v>
      </c>
      <c r="F37" s="504">
        <v>42.180639079449975</v>
      </c>
      <c r="G37" s="504">
        <v>43.512418448261407</v>
      </c>
      <c r="H37" s="511">
        <v>45.713071716575044</v>
      </c>
      <c r="I37" s="511">
        <v>55.936792924692583</v>
      </c>
      <c r="J37" s="511">
        <v>42.512353660000002</v>
      </c>
      <c r="K37" s="511">
        <v>54.841405017930256</v>
      </c>
      <c r="L37" s="511">
        <v>98.731506039999999</v>
      </c>
      <c r="M37" s="932">
        <v>147.06504559067184</v>
      </c>
      <c r="N37" s="512">
        <v>213.92949686999998</v>
      </c>
      <c r="P37" s="759"/>
      <c r="Q37" s="759"/>
    </row>
    <row r="38" spans="2:19" ht="22.5" customHeight="1" x14ac:dyDescent="0.45">
      <c r="B38" s="514" t="s">
        <v>82</v>
      </c>
      <c r="C38" s="505">
        <v>3.1882162810238359</v>
      </c>
      <c r="D38" s="505">
        <v>2.9999968909247956</v>
      </c>
      <c r="E38" s="515">
        <v>3.1731554500000003</v>
      </c>
      <c r="F38" s="505">
        <v>3.3848934419116845</v>
      </c>
      <c r="G38" s="505">
        <v>3.7714287799899191</v>
      </c>
      <c r="H38" s="515">
        <v>3.9362500060422776</v>
      </c>
      <c r="I38" s="515">
        <v>5.2495501090331018</v>
      </c>
      <c r="J38" s="515">
        <v>5.2865793499999993</v>
      </c>
      <c r="K38" s="515">
        <v>5.1514390550460734</v>
      </c>
      <c r="L38" s="515">
        <v>23.938354639999996</v>
      </c>
      <c r="M38" s="933">
        <v>47.611650559144358</v>
      </c>
      <c r="N38" s="516">
        <v>87.547989329999993</v>
      </c>
      <c r="P38" s="759"/>
      <c r="Q38" s="759"/>
      <c r="S38" s="825"/>
    </row>
    <row r="39" spans="2:19" ht="22.5" customHeight="1" x14ac:dyDescent="0.45">
      <c r="B39" s="514" t="s">
        <v>83</v>
      </c>
      <c r="C39" s="505">
        <v>20.47533581058352</v>
      </c>
      <c r="D39" s="505">
        <v>15.575400612422969</v>
      </c>
      <c r="E39" s="515">
        <v>15.2937306</v>
      </c>
      <c r="F39" s="505">
        <v>15.327434954268588</v>
      </c>
      <c r="G39" s="505">
        <v>14.37039238424088</v>
      </c>
      <c r="H39" s="515">
        <v>12.8732856076735</v>
      </c>
      <c r="I39" s="515">
        <v>12.65448557465476</v>
      </c>
      <c r="J39" s="515">
        <v>11.10734849</v>
      </c>
      <c r="K39" s="515">
        <v>19.844733557783005</v>
      </c>
      <c r="L39" s="515">
        <v>36.385525269999995</v>
      </c>
      <c r="M39" s="933">
        <v>54.981103246499231</v>
      </c>
      <c r="N39" s="516">
        <v>62.256243320000003</v>
      </c>
      <c r="P39" s="759"/>
      <c r="Q39" s="759"/>
      <c r="S39" s="824"/>
    </row>
    <row r="40" spans="2:19" ht="22.5" customHeight="1" x14ac:dyDescent="0.45">
      <c r="B40" s="530" t="s">
        <v>383</v>
      </c>
      <c r="C40" s="505">
        <v>63.124150859999993</v>
      </c>
      <c r="D40" s="505">
        <v>27.246468229999998</v>
      </c>
      <c r="E40" s="515">
        <v>29.402010930000003</v>
      </c>
      <c r="F40" s="505">
        <v>21.274813609999999</v>
      </c>
      <c r="G40" s="505">
        <v>23.039533780000003</v>
      </c>
      <c r="H40" s="515">
        <v>26.8675119</v>
      </c>
      <c r="I40" s="515">
        <v>35.853327979999996</v>
      </c>
      <c r="J40" s="515">
        <v>24.172251589999998</v>
      </c>
      <c r="K40" s="515">
        <v>28.436497849999995</v>
      </c>
      <c r="L40" s="515">
        <v>33.15088961</v>
      </c>
      <c r="M40" s="933">
        <v>34.865552629999996</v>
      </c>
      <c r="N40" s="516">
        <v>52.285695369999999</v>
      </c>
      <c r="P40" s="759"/>
      <c r="Q40" s="759"/>
      <c r="S40" s="824"/>
    </row>
    <row r="41" spans="2:19" ht="22.5" customHeight="1" x14ac:dyDescent="0.45">
      <c r="B41" s="530" t="s">
        <v>382</v>
      </c>
      <c r="C41" s="505">
        <v>2.4714190483224101</v>
      </c>
      <c r="D41" s="505">
        <v>1.9708732047350139</v>
      </c>
      <c r="E41" s="515">
        <v>2.2149308699999963</v>
      </c>
      <c r="F41" s="505">
        <v>2.1934970732697039</v>
      </c>
      <c r="G41" s="505">
        <v>2.331063504030606</v>
      </c>
      <c r="H41" s="515">
        <v>2.036024202859263</v>
      </c>
      <c r="I41" s="515">
        <v>2.1794292610047279</v>
      </c>
      <c r="J41" s="515">
        <v>1.9461742300000004</v>
      </c>
      <c r="K41" s="515">
        <v>1.4087345551011836</v>
      </c>
      <c r="L41" s="515">
        <v>5.256736520000004</v>
      </c>
      <c r="M41" s="933">
        <v>9.6067391550282508</v>
      </c>
      <c r="N41" s="516">
        <v>11.839568850000006</v>
      </c>
      <c r="P41" s="759"/>
      <c r="Q41" s="759"/>
    </row>
    <row r="42" spans="2:19" ht="22.5" customHeight="1" x14ac:dyDescent="0.45">
      <c r="B42" s="510" t="s">
        <v>112</v>
      </c>
      <c r="C42" s="504">
        <v>210.50448348320947</v>
      </c>
      <c r="D42" s="504">
        <v>116.178884367477</v>
      </c>
      <c r="E42" s="511">
        <v>123.69489335999998</v>
      </c>
      <c r="F42" s="504">
        <v>79.444530467009145</v>
      </c>
      <c r="G42" s="504">
        <v>83.5766080267787</v>
      </c>
      <c r="H42" s="511">
        <v>88.190032027026561</v>
      </c>
      <c r="I42" s="511">
        <v>96.279492336131071</v>
      </c>
      <c r="J42" s="511">
        <v>83.134338659999997</v>
      </c>
      <c r="K42" s="511">
        <v>92.698054589926699</v>
      </c>
      <c r="L42" s="511">
        <v>95.049417260000013</v>
      </c>
      <c r="M42" s="932">
        <v>100.14905098526171</v>
      </c>
      <c r="N42" s="512">
        <v>119.47433590999999</v>
      </c>
      <c r="P42" s="91"/>
      <c r="Q42" s="91"/>
    </row>
    <row r="43" spans="2:19" ht="22.5" customHeight="1" x14ac:dyDescent="0.45">
      <c r="B43" s="514" t="s">
        <v>82</v>
      </c>
      <c r="C43" s="505">
        <v>6.0629285036833211</v>
      </c>
      <c r="D43" s="505">
        <v>6.3834839179913612</v>
      </c>
      <c r="E43" s="515">
        <v>7.5737296300000008</v>
      </c>
      <c r="F43" s="505">
        <v>8.9273963700051659</v>
      </c>
      <c r="G43" s="505">
        <v>8.7372009789565848</v>
      </c>
      <c r="H43" s="515">
        <v>9.0213832938005059</v>
      </c>
      <c r="I43" s="515">
        <v>8.6260988341030025</v>
      </c>
      <c r="J43" s="515">
        <v>9.5711714199999989</v>
      </c>
      <c r="K43" s="515">
        <v>9.6882259353320013</v>
      </c>
      <c r="L43" s="515">
        <v>9.94384655</v>
      </c>
      <c r="M43" s="933">
        <v>9.1339359463244829</v>
      </c>
      <c r="N43" s="516">
        <v>18.3169489</v>
      </c>
      <c r="P43" s="90"/>
      <c r="Q43" s="91"/>
    </row>
    <row r="44" spans="2:19" ht="22.5" customHeight="1" x14ac:dyDescent="0.45">
      <c r="B44" s="514" t="s">
        <v>83</v>
      </c>
      <c r="C44" s="505">
        <v>30.137915338594468</v>
      </c>
      <c r="D44" s="505">
        <v>26.123862967260816</v>
      </c>
      <c r="E44" s="515">
        <v>25.733593479999996</v>
      </c>
      <c r="F44" s="505">
        <v>28.911986608826044</v>
      </c>
      <c r="G44" s="505">
        <v>31.167146103113495</v>
      </c>
      <c r="H44" s="515">
        <v>29.773923200987173</v>
      </c>
      <c r="I44" s="515">
        <v>29.98218192274879</v>
      </c>
      <c r="J44" s="515">
        <v>27.2077338</v>
      </c>
      <c r="K44" s="515">
        <v>29.3481379560615</v>
      </c>
      <c r="L44" s="515">
        <v>23.279479800000001</v>
      </c>
      <c r="M44" s="933">
        <v>23.45883439483395</v>
      </c>
      <c r="N44" s="516">
        <v>25.452074459999999</v>
      </c>
      <c r="P44" s="90"/>
      <c r="Q44" s="91"/>
    </row>
    <row r="45" spans="2:19" ht="22.5" customHeight="1" x14ac:dyDescent="0.45">
      <c r="B45" s="530" t="s">
        <v>383</v>
      </c>
      <c r="C45" s="505">
        <v>169.54797115000005</v>
      </c>
      <c r="D45" s="505">
        <v>79.397171010000065</v>
      </c>
      <c r="E45" s="515">
        <v>86.15487466999997</v>
      </c>
      <c r="F45" s="505">
        <v>37.284982490000019</v>
      </c>
      <c r="G45" s="505">
        <v>39.813407809999994</v>
      </c>
      <c r="H45" s="515">
        <v>45.805387109999991</v>
      </c>
      <c r="I45" s="515">
        <v>54.200532409999987</v>
      </c>
      <c r="J45" s="515">
        <v>43.193149389999981</v>
      </c>
      <c r="K45" s="515">
        <v>50.632030970000002</v>
      </c>
      <c r="L45" s="515">
        <v>59.333304890000008</v>
      </c>
      <c r="M45" s="933">
        <v>65.360609110000027</v>
      </c>
      <c r="N45" s="516">
        <v>70.991802629999995</v>
      </c>
      <c r="P45" s="90"/>
      <c r="Q45" s="91"/>
    </row>
    <row r="46" spans="2:19" ht="22.5" customHeight="1" x14ac:dyDescent="0.45">
      <c r="B46" s="530" t="s">
        <v>382</v>
      </c>
      <c r="C46" s="505">
        <v>4.7556684909316402</v>
      </c>
      <c r="D46" s="505">
        <v>4.2743664722247559</v>
      </c>
      <c r="E46" s="515">
        <v>4.2326955800000263</v>
      </c>
      <c r="F46" s="505">
        <v>4.3201649981779227</v>
      </c>
      <c r="G46" s="505">
        <v>3.8588531347086246</v>
      </c>
      <c r="H46" s="515">
        <v>3.589338422238896</v>
      </c>
      <c r="I46" s="515">
        <v>3.4706791692793004</v>
      </c>
      <c r="J46" s="515">
        <v>3.162284050000018</v>
      </c>
      <c r="K46" s="515">
        <v>3.0296597285331899</v>
      </c>
      <c r="L46" s="515">
        <v>2.4927860199999969</v>
      </c>
      <c r="M46" s="933">
        <v>2.1956715341032407</v>
      </c>
      <c r="N46" s="516">
        <v>4.713509920000007</v>
      </c>
      <c r="P46" s="90"/>
      <c r="Q46" s="91"/>
    </row>
    <row r="47" spans="2:19" ht="22.5" customHeight="1" x14ac:dyDescent="0.45">
      <c r="B47" s="510" t="s">
        <v>94</v>
      </c>
      <c r="C47" s="504">
        <v>1348.9195101444013</v>
      </c>
      <c r="D47" s="504">
        <v>1152.9957208270978</v>
      </c>
      <c r="E47" s="511">
        <v>1160.7079356999998</v>
      </c>
      <c r="F47" s="504">
        <v>818.95762552360304</v>
      </c>
      <c r="G47" s="504">
        <v>783.85182262621163</v>
      </c>
      <c r="H47" s="511">
        <v>742.87991656769009</v>
      </c>
      <c r="I47" s="511">
        <v>774.10436867193494</v>
      </c>
      <c r="J47" s="511">
        <v>690.85636356999998</v>
      </c>
      <c r="K47" s="511">
        <v>704.43424618841595</v>
      </c>
      <c r="L47" s="511">
        <v>736.55478313999993</v>
      </c>
      <c r="M47" s="932">
        <v>790.57669581268021</v>
      </c>
      <c r="N47" s="512">
        <v>736.94933149000008</v>
      </c>
      <c r="P47" s="91"/>
      <c r="Q47" s="91"/>
    </row>
    <row r="48" spans="2:19" ht="22.5" customHeight="1" x14ac:dyDescent="0.45">
      <c r="B48" s="514" t="s">
        <v>82</v>
      </c>
      <c r="C48" s="505">
        <v>42.229183781903117</v>
      </c>
      <c r="D48" s="505">
        <v>47.309482973798119</v>
      </c>
      <c r="E48" s="515">
        <v>52.608423540000004</v>
      </c>
      <c r="F48" s="505">
        <v>47.942468633994253</v>
      </c>
      <c r="G48" s="505">
        <v>49.049189248969803</v>
      </c>
      <c r="H48" s="515">
        <v>49.231046800006077</v>
      </c>
      <c r="I48" s="515">
        <v>47.376979724721444</v>
      </c>
      <c r="J48" s="515">
        <v>51.889076129999999</v>
      </c>
      <c r="K48" s="515">
        <v>51.360903752603349</v>
      </c>
      <c r="L48" s="515">
        <v>68.063335749999993</v>
      </c>
      <c r="M48" s="933">
        <v>93.845472651825631</v>
      </c>
      <c r="N48" s="516">
        <v>150.41740125999999</v>
      </c>
      <c r="P48" s="759"/>
      <c r="Q48" s="759"/>
      <c r="R48" s="759"/>
      <c r="S48" s="759"/>
    </row>
    <row r="49" spans="2:19" ht="22.5" customHeight="1" x14ac:dyDescent="0.45">
      <c r="B49" s="514" t="s">
        <v>83</v>
      </c>
      <c r="C49" s="505">
        <v>126.34982824896734</v>
      </c>
      <c r="D49" s="505">
        <v>112.99813735191189</v>
      </c>
      <c r="E49" s="515">
        <v>101.85320089</v>
      </c>
      <c r="F49" s="505">
        <v>105.53181812746178</v>
      </c>
      <c r="G49" s="505">
        <v>104.53043349516282</v>
      </c>
      <c r="H49" s="515">
        <v>101.40764619535264</v>
      </c>
      <c r="I49" s="515">
        <v>94.665762776707453</v>
      </c>
      <c r="J49" s="515">
        <v>78.445977769999999</v>
      </c>
      <c r="K49" s="515">
        <v>92.381673280400335</v>
      </c>
      <c r="L49" s="515">
        <v>102.40697113</v>
      </c>
      <c r="M49" s="933">
        <v>119.54562325256857</v>
      </c>
      <c r="N49" s="516">
        <v>127.64040052999998</v>
      </c>
      <c r="P49" s="759"/>
      <c r="Q49" s="759"/>
      <c r="R49" s="759"/>
      <c r="S49" s="759"/>
    </row>
    <row r="50" spans="2:19" ht="22.5" customHeight="1" x14ac:dyDescent="0.45">
      <c r="B50" s="530" t="s">
        <v>383</v>
      </c>
      <c r="C50" s="505">
        <v>1168.6023336899998</v>
      </c>
      <c r="D50" s="505">
        <v>983.02642921000006</v>
      </c>
      <c r="E50" s="515">
        <v>996.89190921000011</v>
      </c>
      <c r="F50" s="505">
        <v>655.25057268</v>
      </c>
      <c r="G50" s="505">
        <v>620.35110834</v>
      </c>
      <c r="H50" s="515">
        <v>582.6822159100002</v>
      </c>
      <c r="I50" s="515">
        <v>622.89508124999975</v>
      </c>
      <c r="J50" s="515">
        <v>552.16834946999984</v>
      </c>
      <c r="K50" s="515">
        <v>553.27431201000013</v>
      </c>
      <c r="L50" s="515">
        <v>555.36146667000003</v>
      </c>
      <c r="M50" s="933">
        <v>562.28916762000006</v>
      </c>
      <c r="N50" s="516">
        <v>438.35083256999991</v>
      </c>
      <c r="P50" s="759"/>
      <c r="Q50" s="759"/>
      <c r="R50" s="759"/>
      <c r="S50" s="759"/>
    </row>
    <row r="51" spans="2:19" ht="22.5" customHeight="1" x14ac:dyDescent="0.45">
      <c r="B51" s="542" t="s">
        <v>382</v>
      </c>
      <c r="C51" s="543">
        <v>11.738164423530861</v>
      </c>
      <c r="D51" s="543">
        <v>9.6616712913876199</v>
      </c>
      <c r="E51" s="544">
        <v>9.3544020599996429</v>
      </c>
      <c r="F51" s="543">
        <v>10.232766082147009</v>
      </c>
      <c r="G51" s="543">
        <v>9.9210915420790116</v>
      </c>
      <c r="H51" s="544">
        <v>9.5590076623311688</v>
      </c>
      <c r="I51" s="544">
        <v>9.1665449205062259</v>
      </c>
      <c r="J51" s="544">
        <v>8.3529602000000978</v>
      </c>
      <c r="K51" s="544">
        <v>7.4173571454120975</v>
      </c>
      <c r="L51" s="544">
        <v>10.723009589999833</v>
      </c>
      <c r="M51" s="934">
        <v>14.896432288285951</v>
      </c>
      <c r="N51" s="545">
        <v>20.540697130000183</v>
      </c>
      <c r="P51" s="759"/>
      <c r="Q51" s="759"/>
    </row>
    <row r="52" spans="2:19" ht="15" customHeight="1" x14ac:dyDescent="0.45">
      <c r="B52" s="538"/>
      <c r="C52" s="539"/>
      <c r="D52" s="539"/>
      <c r="E52" s="539"/>
      <c r="F52" s="539"/>
      <c r="G52" s="539"/>
      <c r="H52" s="539"/>
      <c r="I52" s="539"/>
      <c r="J52" s="539"/>
      <c r="K52" s="539"/>
      <c r="L52" s="539"/>
      <c r="M52" s="539"/>
      <c r="N52" s="539"/>
      <c r="Q52" s="91"/>
    </row>
    <row r="53" spans="2:19" ht="15" customHeight="1" x14ac:dyDescent="0.45">
      <c r="B53" s="116" t="s">
        <v>394</v>
      </c>
      <c r="C53" s="539"/>
      <c r="D53" s="539"/>
      <c r="E53" s="539"/>
      <c r="F53" s="539"/>
      <c r="G53" s="539"/>
      <c r="H53" s="539"/>
      <c r="I53" s="539"/>
      <c r="J53" s="539"/>
      <c r="K53" s="539"/>
      <c r="L53" s="539"/>
      <c r="M53" s="539"/>
      <c r="N53" s="539"/>
    </row>
    <row r="54" spans="2:19" ht="24.75" customHeight="1" x14ac:dyDescent="0.45">
      <c r="B54" s="1057" t="s">
        <v>454</v>
      </c>
      <c r="C54" s="1058"/>
      <c r="D54" s="1058"/>
      <c r="E54" s="1058"/>
      <c r="F54" s="1058"/>
      <c r="G54" s="1058"/>
      <c r="H54" s="1058"/>
      <c r="I54" s="1058"/>
      <c r="J54" s="1058"/>
      <c r="K54"/>
      <c r="L54"/>
      <c r="M54"/>
      <c r="N54" s="539"/>
    </row>
    <row r="55" spans="2:19" ht="24.75" customHeight="1" x14ac:dyDescent="0.45">
      <c r="B55" s="1048" t="s">
        <v>648</v>
      </c>
      <c r="C55" s="1048"/>
      <c r="D55" s="1048"/>
      <c r="E55" s="1048"/>
      <c r="F55" s="1048"/>
      <c r="G55" s="1048"/>
      <c r="H55" s="1048"/>
      <c r="I55" s="1048"/>
      <c r="J55" s="1048"/>
      <c r="K55" s="1048"/>
      <c r="L55" s="1048"/>
      <c r="M55" s="899"/>
      <c r="N55" s="539"/>
    </row>
    <row r="56" spans="2:19" ht="15" customHeight="1" x14ac:dyDescent="0.45">
      <c r="B56" s="538"/>
      <c r="C56" s="539"/>
      <c r="D56" s="539"/>
      <c r="E56" s="539"/>
      <c r="F56" s="539"/>
      <c r="G56" s="539"/>
      <c r="H56" s="539"/>
      <c r="I56" s="539"/>
      <c r="J56" s="539"/>
      <c r="K56" s="539"/>
      <c r="L56" s="539"/>
      <c r="M56" s="539"/>
      <c r="N56" s="539"/>
    </row>
    <row r="57" spans="2:19" ht="15" customHeight="1" x14ac:dyDescent="0.45">
      <c r="B57" s="540"/>
      <c r="C57" s="541"/>
      <c r="D57" s="541"/>
      <c r="E57" s="541"/>
      <c r="F57" s="541"/>
      <c r="G57" s="541"/>
      <c r="H57" s="541"/>
      <c r="I57" s="541"/>
      <c r="J57" s="541"/>
      <c r="K57" s="541"/>
      <c r="L57" s="541"/>
      <c r="M57" s="541"/>
      <c r="N57" s="541"/>
    </row>
  </sheetData>
  <mergeCells count="3">
    <mergeCell ref="B5:N5"/>
    <mergeCell ref="B54:J54"/>
    <mergeCell ref="B55:L55"/>
  </mergeCells>
  <hyperlinks>
    <hyperlink ref="N2" location="'Cover '!A1" display="Back to Cover" xr:uid="{A03E5750-6E5F-42BD-A123-1328716236C3}"/>
  </hyperlinks>
  <pageMargins left="0.7" right="0.7" top="0.75" bottom="0.75" header="0.3" footer="0.3"/>
  <pageSetup scale="46" orientation="landscape"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CADBD6-8B84-4297-AD6B-29FEA0767081}">
  <sheetPr codeName="Foglio8">
    <pageSetUpPr fitToPage="1"/>
  </sheetPr>
  <dimension ref="A1:S36"/>
  <sheetViews>
    <sheetView showGridLines="0" view="pageBreakPreview" zoomScale="85" zoomScaleNormal="85" zoomScaleSheetLayoutView="85" workbookViewId="0">
      <selection activeCell="B5" sqref="B5:N5"/>
    </sheetView>
  </sheetViews>
  <sheetFormatPr defaultColWidth="9.109375" defaultRowHeight="15" customHeight="1" x14ac:dyDescent="0.2"/>
  <cols>
    <col min="1" max="1" width="2.44140625" style="20" customWidth="1"/>
    <col min="2" max="2" width="39.5546875" style="20" customWidth="1"/>
    <col min="3" max="14" width="14.5546875" style="22" customWidth="1"/>
    <col min="15" max="15" width="2.44140625" style="20" customWidth="1"/>
    <col min="16" max="16384" width="9.109375" style="20"/>
  </cols>
  <sheetData>
    <row r="1" spans="1:19" s="23" customFormat="1" ht="15.75" customHeight="1" x14ac:dyDescent="0.4">
      <c r="B1" s="497"/>
      <c r="C1" s="497"/>
      <c r="D1" s="497"/>
      <c r="E1" s="497"/>
      <c r="F1" s="497"/>
      <c r="G1" s="497"/>
      <c r="H1" s="497"/>
      <c r="I1" s="497"/>
      <c r="J1" s="497"/>
      <c r="K1" s="497"/>
      <c r="L1" s="497"/>
      <c r="M1" s="497"/>
      <c r="N1" s="497"/>
    </row>
    <row r="2" spans="1:19" s="23" customFormat="1" ht="15.75" customHeight="1" x14ac:dyDescent="0.4">
      <c r="B2" s="497"/>
      <c r="C2" s="522"/>
      <c r="D2" s="522"/>
      <c r="E2" s="522"/>
      <c r="F2" s="522"/>
      <c r="G2" s="522"/>
      <c r="H2" s="522"/>
      <c r="I2" s="522"/>
      <c r="J2" s="522"/>
      <c r="K2" s="522"/>
      <c r="L2" s="522"/>
      <c r="M2" s="522"/>
      <c r="N2" s="498" t="s">
        <v>18</v>
      </c>
    </row>
    <row r="3" spans="1:19" s="23" customFormat="1" ht="15.75" customHeight="1" x14ac:dyDescent="0.4">
      <c r="B3" s="497"/>
      <c r="C3" s="497"/>
      <c r="D3" s="497"/>
      <c r="E3" s="497"/>
      <c r="F3" s="497"/>
      <c r="G3" s="497"/>
      <c r="H3" s="497"/>
      <c r="I3" s="497"/>
      <c r="J3" s="497"/>
      <c r="K3" s="497"/>
      <c r="L3" s="497"/>
      <c r="M3" s="497"/>
      <c r="N3" s="497"/>
    </row>
    <row r="4" spans="1:19" s="24" customFormat="1" ht="15.75" customHeight="1" x14ac:dyDescent="0.35">
      <c r="B4" s="499"/>
      <c r="C4" s="499"/>
      <c r="D4" s="499"/>
      <c r="E4" s="499"/>
      <c r="F4" s="499"/>
      <c r="G4" s="499"/>
      <c r="H4" s="499"/>
      <c r="I4" s="499"/>
      <c r="J4" s="499"/>
      <c r="K4" s="499"/>
      <c r="L4" s="499"/>
      <c r="M4" s="499"/>
      <c r="N4" s="499"/>
    </row>
    <row r="5" spans="1:19" ht="27.6" x14ac:dyDescent="0.2">
      <c r="A5" s="16"/>
      <c r="B5" s="1044" t="s">
        <v>110</v>
      </c>
      <c r="C5" s="1044"/>
      <c r="D5" s="1044"/>
      <c r="E5" s="1044"/>
      <c r="F5" s="1044"/>
      <c r="G5" s="1044"/>
      <c r="H5" s="1044"/>
      <c r="I5" s="1044"/>
      <c r="J5" s="1044"/>
      <c r="K5" s="1044"/>
      <c r="L5" s="1044"/>
      <c r="M5" s="1044"/>
      <c r="N5" s="1044"/>
    </row>
    <row r="6" spans="1:19" ht="9" customHeight="1" x14ac:dyDescent="0.2">
      <c r="A6" s="16"/>
      <c r="B6" s="119"/>
      <c r="C6" s="119"/>
      <c r="D6" s="119"/>
      <c r="E6" s="119"/>
      <c r="F6" s="119"/>
      <c r="G6" s="119"/>
      <c r="H6" s="119"/>
      <c r="I6" s="119"/>
      <c r="J6" s="119"/>
      <c r="K6" s="119"/>
      <c r="L6" s="119"/>
      <c r="M6" s="119"/>
      <c r="N6" s="119"/>
    </row>
    <row r="7" spans="1:19" ht="11.25" customHeight="1" x14ac:dyDescent="0.2">
      <c r="A7" s="18"/>
      <c r="B7" s="454"/>
      <c r="C7" s="454"/>
      <c r="D7" s="454"/>
      <c r="E7" s="454"/>
      <c r="F7" s="454"/>
      <c r="G7" s="454"/>
      <c r="H7" s="454"/>
      <c r="I7" s="454"/>
      <c r="J7" s="454"/>
      <c r="K7" s="454"/>
      <c r="L7" s="454"/>
      <c r="M7" s="454"/>
      <c r="N7" s="454"/>
    </row>
    <row r="8" spans="1:19" s="23" customFormat="1" ht="11.25" customHeight="1" x14ac:dyDescent="0.4">
      <c r="B8" s="497"/>
      <c r="C8" s="500"/>
      <c r="D8" s="500"/>
      <c r="E8" s="500"/>
      <c r="F8" s="500"/>
      <c r="G8" s="500"/>
      <c r="H8" s="500"/>
      <c r="I8" s="500"/>
      <c r="J8" s="500"/>
      <c r="K8" s="500"/>
      <c r="L8" s="500"/>
      <c r="M8" s="500"/>
      <c r="N8" s="500"/>
    </row>
    <row r="9" spans="1:19" s="23" customFormat="1" ht="34.5" customHeight="1" x14ac:dyDescent="0.3">
      <c r="B9" s="550" t="s">
        <v>67</v>
      </c>
      <c r="C9" s="508" t="s">
        <v>155</v>
      </c>
      <c r="D9" s="508" t="s">
        <v>156</v>
      </c>
      <c r="E9" s="508" t="s">
        <v>164</v>
      </c>
      <c r="F9" s="508" t="s">
        <v>267</v>
      </c>
      <c r="G9" s="508" t="s">
        <v>273</v>
      </c>
      <c r="H9" s="508" t="s">
        <v>361</v>
      </c>
      <c r="I9" s="508" t="s">
        <v>398</v>
      </c>
      <c r="J9" s="508" t="s">
        <v>415</v>
      </c>
      <c r="K9" s="508" t="s">
        <v>445</v>
      </c>
      <c r="L9" s="508" t="s">
        <v>457</v>
      </c>
      <c r="M9" s="521" t="s">
        <v>497</v>
      </c>
      <c r="N9" s="509" t="s">
        <v>573</v>
      </c>
      <c r="S9" s="64"/>
    </row>
    <row r="10" spans="1:19" s="25" customFormat="1" ht="20.25" customHeight="1" x14ac:dyDescent="0.4">
      <c r="B10" s="534"/>
      <c r="C10" s="504"/>
      <c r="D10" s="504"/>
      <c r="E10" s="511"/>
      <c r="F10" s="504"/>
      <c r="G10" s="504"/>
      <c r="H10" s="511"/>
      <c r="I10" s="511"/>
      <c r="J10" s="511"/>
      <c r="K10" s="511"/>
      <c r="L10" s="511"/>
      <c r="M10" s="932"/>
      <c r="N10" s="512"/>
      <c r="S10" s="65"/>
    </row>
    <row r="11" spans="1:19" s="25" customFormat="1" ht="20.25" customHeight="1" x14ac:dyDescent="0.4">
      <c r="B11" s="535" t="s">
        <v>153</v>
      </c>
      <c r="C11" s="546">
        <v>2624.3162290799996</v>
      </c>
      <c r="D11" s="546">
        <v>2441.5529170199989</v>
      </c>
      <c r="E11" s="511">
        <v>2048.5796317300005</v>
      </c>
      <c r="F11" s="546">
        <v>2045.45625649</v>
      </c>
      <c r="G11" s="546">
        <f t="shared" ref="G11:L11" si="0">F28</f>
        <v>1329.3203579900003</v>
      </c>
      <c r="H11" s="511">
        <f t="shared" si="0"/>
        <v>1302.6423571399996</v>
      </c>
      <c r="I11" s="511">
        <f t="shared" si="0"/>
        <v>1263.5071478100012</v>
      </c>
      <c r="J11" s="511">
        <f t="shared" si="0"/>
        <v>1261.8381047699991</v>
      </c>
      <c r="K11" s="511">
        <f t="shared" si="0"/>
        <v>1067.9918054000004</v>
      </c>
      <c r="L11" s="511">
        <f t="shared" si="0"/>
        <v>1097.1468719499992</v>
      </c>
      <c r="M11" s="932">
        <f>L28</f>
        <v>1086.2168719499994</v>
      </c>
      <c r="N11" s="551">
        <f>M28</f>
        <v>1088.3768719499994</v>
      </c>
      <c r="S11" s="65"/>
    </row>
    <row r="12" spans="1:19" s="25" customFormat="1" ht="20.25" customHeight="1" x14ac:dyDescent="0.4">
      <c r="B12" s="535"/>
      <c r="C12" s="547"/>
      <c r="D12" s="547"/>
      <c r="E12" s="552"/>
      <c r="F12" s="547"/>
      <c r="G12" s="547"/>
      <c r="H12" s="552"/>
      <c r="I12" s="552"/>
      <c r="J12" s="552"/>
      <c r="K12" s="552"/>
      <c r="L12" s="552"/>
      <c r="M12" s="935"/>
      <c r="N12" s="553"/>
      <c r="S12" s="65"/>
    </row>
    <row r="13" spans="1:19" s="25" customFormat="1" ht="20.25" customHeight="1" x14ac:dyDescent="0.4">
      <c r="B13" s="554" t="s">
        <v>53</v>
      </c>
      <c r="C13" s="546">
        <v>34.39</v>
      </c>
      <c r="D13" s="546">
        <v>23.21</v>
      </c>
      <c r="E13" s="511">
        <v>18.59</v>
      </c>
      <c r="F13" s="546">
        <v>16.59</v>
      </c>
      <c r="G13" s="546">
        <v>16.809999999999999</v>
      </c>
      <c r="H13" s="511">
        <v>13.64</v>
      </c>
      <c r="I13" s="511">
        <v>9.76</v>
      </c>
      <c r="J13" s="511">
        <v>15.09</v>
      </c>
      <c r="K13" s="511">
        <v>8.1</v>
      </c>
      <c r="L13" s="511">
        <v>3.64</v>
      </c>
      <c r="M13" s="932">
        <v>6.6</v>
      </c>
      <c r="N13" s="551">
        <v>5.15</v>
      </c>
      <c r="S13" s="65"/>
    </row>
    <row r="14" spans="1:19" s="25" customFormat="1" ht="20.25" customHeight="1" x14ac:dyDescent="0.4">
      <c r="B14" s="554" t="s">
        <v>54</v>
      </c>
      <c r="C14" s="546">
        <v>58.4</v>
      </c>
      <c r="D14" s="546">
        <v>193.13</v>
      </c>
      <c r="E14" s="511">
        <v>61.39</v>
      </c>
      <c r="F14" s="546">
        <v>62.79</v>
      </c>
      <c r="G14" s="546">
        <v>67.61</v>
      </c>
      <c r="H14" s="511">
        <v>78</v>
      </c>
      <c r="I14" s="511">
        <v>51.93</v>
      </c>
      <c r="J14" s="511">
        <v>99.89</v>
      </c>
      <c r="K14" s="511">
        <v>80.45</v>
      </c>
      <c r="L14" s="511">
        <v>58.260000000000005</v>
      </c>
      <c r="M14" s="932">
        <v>47.11</v>
      </c>
      <c r="N14" s="551">
        <v>74.650000000000006</v>
      </c>
      <c r="Q14" s="989"/>
      <c r="S14" s="65"/>
    </row>
    <row r="15" spans="1:19" s="25" customFormat="1" ht="20.25" customHeight="1" x14ac:dyDescent="0.4">
      <c r="B15" s="554" t="s">
        <v>149</v>
      </c>
      <c r="C15" s="546">
        <f t="shared" ref="C15:L15" si="1">C13+C14</f>
        <v>92.789999999999992</v>
      </c>
      <c r="D15" s="546">
        <f t="shared" si="1"/>
        <v>216.34</v>
      </c>
      <c r="E15" s="511">
        <f t="shared" si="1"/>
        <v>79.98</v>
      </c>
      <c r="F15" s="546">
        <f t="shared" si="1"/>
        <v>79.38</v>
      </c>
      <c r="G15" s="546">
        <f t="shared" si="1"/>
        <v>84.42</v>
      </c>
      <c r="H15" s="511">
        <f t="shared" si="1"/>
        <v>91.64</v>
      </c>
      <c r="I15" s="511">
        <f t="shared" si="1"/>
        <v>61.69</v>
      </c>
      <c r="J15" s="511">
        <f t="shared" si="1"/>
        <v>114.98</v>
      </c>
      <c r="K15" s="511">
        <f t="shared" si="1"/>
        <v>88.55</v>
      </c>
      <c r="L15" s="511">
        <f t="shared" si="1"/>
        <v>61.900000000000006</v>
      </c>
      <c r="M15" s="932">
        <f t="shared" ref="M15" si="2">M13+M14</f>
        <v>53.71</v>
      </c>
      <c r="N15" s="551">
        <f>N13+N14</f>
        <v>79.800000000000011</v>
      </c>
      <c r="S15" s="65"/>
    </row>
    <row r="16" spans="1:19" s="25" customFormat="1" ht="20.25" customHeight="1" x14ac:dyDescent="0.4">
      <c r="B16" s="555" t="s">
        <v>150</v>
      </c>
      <c r="C16" s="548">
        <v>22.16</v>
      </c>
      <c r="D16" s="548">
        <v>151.85999999999999</v>
      </c>
      <c r="E16" s="515">
        <v>16.920000000000002</v>
      </c>
      <c r="F16" s="548">
        <v>23.12</v>
      </c>
      <c r="G16" s="548">
        <v>35.56</v>
      </c>
      <c r="H16" s="515">
        <v>30.17</v>
      </c>
      <c r="I16" s="515">
        <v>18.18</v>
      </c>
      <c r="J16" s="515">
        <v>77.36</v>
      </c>
      <c r="K16" s="515">
        <v>36.46</v>
      </c>
      <c r="L16" s="515">
        <v>25.14</v>
      </c>
      <c r="M16" s="933">
        <v>18.329999999999998</v>
      </c>
      <c r="N16" s="556">
        <v>35.580000000000005</v>
      </c>
      <c r="S16" s="65"/>
    </row>
    <row r="17" spans="2:19" s="25" customFormat="1" ht="20.25" customHeight="1" x14ac:dyDescent="0.4">
      <c r="B17" s="555" t="s">
        <v>522</v>
      </c>
      <c r="C17" s="548">
        <v>51.56</v>
      </c>
      <c r="D17" s="548">
        <v>47.18</v>
      </c>
      <c r="E17" s="515">
        <v>44.15</v>
      </c>
      <c r="F17" s="548">
        <v>40.159999999999997</v>
      </c>
      <c r="G17" s="548">
        <v>33.630000000000003</v>
      </c>
      <c r="H17" s="515">
        <v>44.199999999999996</v>
      </c>
      <c r="I17" s="515">
        <v>28.01</v>
      </c>
      <c r="J17" s="515">
        <v>24.21</v>
      </c>
      <c r="K17" s="515">
        <v>36.160000000000004</v>
      </c>
      <c r="L17" s="515">
        <v>22.990000000000002</v>
      </c>
      <c r="M17" s="933">
        <v>22.490000000000002</v>
      </c>
      <c r="N17" s="556">
        <v>30.980000000000004</v>
      </c>
      <c r="S17" s="65"/>
    </row>
    <row r="18" spans="2:19" s="25" customFormat="1" ht="20.25" customHeight="1" x14ac:dyDescent="0.4">
      <c r="B18" s="555" t="s">
        <v>152</v>
      </c>
      <c r="C18" s="548">
        <v>19.05</v>
      </c>
      <c r="D18" s="548">
        <v>17.309999999999999</v>
      </c>
      <c r="E18" s="515">
        <v>18.91</v>
      </c>
      <c r="F18" s="548">
        <v>16.09</v>
      </c>
      <c r="G18" s="548">
        <v>15.22</v>
      </c>
      <c r="H18" s="515">
        <v>17.259999999999998</v>
      </c>
      <c r="I18" s="515">
        <v>15.48</v>
      </c>
      <c r="J18" s="515">
        <v>13.41</v>
      </c>
      <c r="K18" s="515">
        <v>15.92</v>
      </c>
      <c r="L18" s="515">
        <v>13.76</v>
      </c>
      <c r="M18" s="933">
        <v>12.89</v>
      </c>
      <c r="N18" s="556">
        <v>13.24</v>
      </c>
      <c r="S18" s="65"/>
    </row>
    <row r="19" spans="2:19" s="25" customFormat="1" ht="20.25" customHeight="1" x14ac:dyDescent="0.4">
      <c r="B19" s="555"/>
      <c r="C19" s="547"/>
      <c r="D19" s="547"/>
      <c r="E19" s="552"/>
      <c r="F19" s="547"/>
      <c r="G19" s="547"/>
      <c r="H19" s="552"/>
      <c r="I19" s="552"/>
      <c r="J19" s="552"/>
      <c r="K19" s="552"/>
      <c r="L19" s="552"/>
      <c r="M19" s="935"/>
      <c r="N19" s="553"/>
      <c r="S19" s="65"/>
    </row>
    <row r="20" spans="2:19" s="25" customFormat="1" ht="20.25" customHeight="1" x14ac:dyDescent="0.4">
      <c r="B20" s="554" t="s">
        <v>57</v>
      </c>
      <c r="C20" s="546">
        <v>-158.26999999999995</v>
      </c>
      <c r="D20" s="546">
        <v>-142.70000000000024</v>
      </c>
      <c r="E20" s="511">
        <v>-52.539999999999893</v>
      </c>
      <c r="F20" s="546">
        <v>-271.54000000000008</v>
      </c>
      <c r="G20" s="546">
        <v>-58.239999999999839</v>
      </c>
      <c r="H20" s="511">
        <v>-117.54000000000011</v>
      </c>
      <c r="I20" s="511">
        <v>-57.430000000000071</v>
      </c>
      <c r="J20" s="511">
        <v>-56.499999999999915</v>
      </c>
      <c r="K20" s="511">
        <v>-56.279999999999923</v>
      </c>
      <c r="L20" s="511">
        <v>-53.730000000000068</v>
      </c>
      <c r="M20" s="932">
        <v>-49.789999999999921</v>
      </c>
      <c r="N20" s="551">
        <v>-116.4400000000001</v>
      </c>
      <c r="S20" s="65"/>
    </row>
    <row r="21" spans="2:19" s="25" customFormat="1" ht="20.25" customHeight="1" x14ac:dyDescent="0.4">
      <c r="B21" s="555" t="s">
        <v>150</v>
      </c>
      <c r="C21" s="548">
        <v>-101.47999999999993</v>
      </c>
      <c r="D21" s="548">
        <v>-110.24999999999994</v>
      </c>
      <c r="E21" s="515">
        <v>-21.840000000000128</v>
      </c>
      <c r="F21" s="548">
        <v>-236.39000000000001</v>
      </c>
      <c r="G21" s="548">
        <v>-30.169999999999966</v>
      </c>
      <c r="H21" s="515">
        <v>-89.77</v>
      </c>
      <c r="I21" s="515">
        <v>-37.47</v>
      </c>
      <c r="J21" s="515">
        <v>-34.640000000000029</v>
      </c>
      <c r="K21" s="515">
        <v>-37.349999999999966</v>
      </c>
      <c r="L21" s="515">
        <v>-30.39000000000004</v>
      </c>
      <c r="M21" s="933">
        <v>-26.370000000000029</v>
      </c>
      <c r="N21" s="556">
        <v>-96.550000000000011</v>
      </c>
      <c r="S21" s="65"/>
    </row>
    <row r="22" spans="2:19" s="25" customFormat="1" ht="20.25" customHeight="1" x14ac:dyDescent="0.4">
      <c r="B22" s="555" t="s">
        <v>151</v>
      </c>
      <c r="C22" s="548">
        <v>-41.53</v>
      </c>
      <c r="D22" s="548">
        <v>-20.080000000000016</v>
      </c>
      <c r="E22" s="515">
        <v>-22.040000000000028</v>
      </c>
      <c r="F22" s="548">
        <v>-22.169999999999966</v>
      </c>
      <c r="G22" s="548">
        <v>-20.429999999999989</v>
      </c>
      <c r="H22" s="515">
        <v>-20.590000000000028</v>
      </c>
      <c r="I22" s="515">
        <v>-14.619999999999976</v>
      </c>
      <c r="J22" s="515">
        <v>-17.249999999999996</v>
      </c>
      <c r="K22" s="515">
        <v>-13.15000000000002</v>
      </c>
      <c r="L22" s="515">
        <v>-16.839999999999986</v>
      </c>
      <c r="M22" s="933">
        <v>-16.930000000000028</v>
      </c>
      <c r="N22" s="556">
        <v>-13.17999999999997</v>
      </c>
      <c r="S22" s="65"/>
    </row>
    <row r="23" spans="2:19" s="25" customFormat="1" ht="20.25" customHeight="1" x14ac:dyDescent="0.4">
      <c r="B23" s="555" t="s">
        <v>152</v>
      </c>
      <c r="C23" s="548">
        <v>-15.23000000000005</v>
      </c>
      <c r="D23" s="548">
        <v>-12.389999999999953</v>
      </c>
      <c r="E23" s="515">
        <v>-8.6600000000000108</v>
      </c>
      <c r="F23" s="548">
        <v>-12.970000000000006</v>
      </c>
      <c r="G23" s="548">
        <v>-7.6200000000000019</v>
      </c>
      <c r="H23" s="515">
        <v>-7.1799999999999988</v>
      </c>
      <c r="I23" s="515">
        <v>-5.3300000000000036</v>
      </c>
      <c r="J23" s="515">
        <v>-4.5999999999999908</v>
      </c>
      <c r="K23" s="515">
        <v>-5.800000000000006</v>
      </c>
      <c r="L23" s="515">
        <v>-6.4899999999999993</v>
      </c>
      <c r="M23" s="933">
        <v>-6.480000000000004</v>
      </c>
      <c r="N23" s="556">
        <v>-6.7099999999999982</v>
      </c>
      <c r="Q23" s="48"/>
      <c r="S23" s="65"/>
    </row>
    <row r="24" spans="2:19" s="25" customFormat="1" ht="20.25" customHeight="1" x14ac:dyDescent="0.4">
      <c r="B24" s="555"/>
      <c r="C24" s="547"/>
      <c r="D24" s="547"/>
      <c r="E24" s="552"/>
      <c r="F24" s="547"/>
      <c r="G24" s="547"/>
      <c r="H24" s="552"/>
      <c r="I24" s="552"/>
      <c r="J24" s="552"/>
      <c r="K24" s="552"/>
      <c r="L24" s="552"/>
      <c r="M24" s="935"/>
      <c r="N24" s="553"/>
      <c r="S24" s="65"/>
    </row>
    <row r="25" spans="2:19" s="25" customFormat="1" ht="20.25" customHeight="1" x14ac:dyDescent="0.4">
      <c r="B25" s="535" t="s">
        <v>56</v>
      </c>
      <c r="C25" s="546">
        <v>-95.11</v>
      </c>
      <c r="D25" s="546">
        <v>-40.4</v>
      </c>
      <c r="E25" s="511">
        <v>-30.6</v>
      </c>
      <c r="F25" s="546">
        <v>-173.77</v>
      </c>
      <c r="G25" s="546">
        <v>-26.32</v>
      </c>
      <c r="H25" s="511">
        <v>-12.8</v>
      </c>
      <c r="I25" s="511">
        <v>-6.03</v>
      </c>
      <c r="J25" s="511">
        <v>-18.72</v>
      </c>
      <c r="K25" s="511">
        <v>-7.86</v>
      </c>
      <c r="L25" s="511">
        <v>-17.8</v>
      </c>
      <c r="M25" s="932">
        <v>-0.84</v>
      </c>
      <c r="N25" s="551">
        <v>-18.829999999999998</v>
      </c>
      <c r="S25" s="65"/>
    </row>
    <row r="26" spans="2:19" s="25" customFormat="1" ht="20.25" customHeight="1" x14ac:dyDescent="0.4">
      <c r="B26" s="535" t="s">
        <v>686</v>
      </c>
      <c r="C26" s="546">
        <v>-22.18</v>
      </c>
      <c r="D26" s="546">
        <v>-426.21</v>
      </c>
      <c r="E26" s="511">
        <v>0.04</v>
      </c>
      <c r="F26" s="546">
        <v>-350.21</v>
      </c>
      <c r="G26" s="546">
        <v>-26.54</v>
      </c>
      <c r="H26" s="511">
        <v>-0.43</v>
      </c>
      <c r="I26" s="511">
        <v>0.1</v>
      </c>
      <c r="J26" s="511">
        <v>-233.61</v>
      </c>
      <c r="K26" s="511">
        <v>4.75</v>
      </c>
      <c r="L26" s="511">
        <v>-1.3</v>
      </c>
      <c r="M26" s="932">
        <v>-0.92</v>
      </c>
      <c r="N26" s="551">
        <v>-134.04</v>
      </c>
      <c r="S26" s="65"/>
    </row>
    <row r="27" spans="2:19" s="25" customFormat="1" ht="20.25" customHeight="1" x14ac:dyDescent="0.4">
      <c r="B27" s="535"/>
      <c r="C27" s="505"/>
      <c r="D27" s="505"/>
      <c r="E27" s="515"/>
      <c r="F27" s="505"/>
      <c r="G27" s="505"/>
      <c r="H27" s="515"/>
      <c r="I27" s="515"/>
      <c r="J27" s="515"/>
      <c r="K27" s="515"/>
      <c r="L27" s="515"/>
      <c r="M27" s="933"/>
      <c r="N27" s="516"/>
    </row>
    <row r="28" spans="2:19" s="25" customFormat="1" ht="20.25" customHeight="1" x14ac:dyDescent="0.4">
      <c r="B28" s="535" t="s">
        <v>55</v>
      </c>
      <c r="C28" s="504">
        <v>2441.5529170199989</v>
      </c>
      <c r="D28" s="504">
        <v>2048.5796317300005</v>
      </c>
      <c r="E28" s="511">
        <v>2045.45625649</v>
      </c>
      <c r="F28" s="504">
        <v>1329.3203579900003</v>
      </c>
      <c r="G28" s="504">
        <v>1302.6423571399996</v>
      </c>
      <c r="H28" s="511">
        <v>1263.5071478100012</v>
      </c>
      <c r="I28" s="511">
        <v>1261.8381047699991</v>
      </c>
      <c r="J28" s="511">
        <v>1067.9918054000004</v>
      </c>
      <c r="K28" s="511">
        <v>1097.1468719499992</v>
      </c>
      <c r="L28" s="511">
        <f>L11+L15+L20+L25+L26</f>
        <v>1086.2168719499994</v>
      </c>
      <c r="M28" s="932">
        <f>M11+M15+M20+M25+M26</f>
        <v>1088.3768719499994</v>
      </c>
      <c r="N28" s="512">
        <f>N11+N15+N20+N25+N26</f>
        <v>898.86687194999945</v>
      </c>
    </row>
    <row r="29" spans="2:19" s="25" customFormat="1" ht="20.25" customHeight="1" x14ac:dyDescent="0.4">
      <c r="B29" s="557"/>
      <c r="C29" s="558"/>
      <c r="D29" s="558"/>
      <c r="E29" s="559"/>
      <c r="F29" s="558"/>
      <c r="G29" s="558"/>
      <c r="H29" s="559"/>
      <c r="I29" s="559"/>
      <c r="J29" s="559"/>
      <c r="K29" s="559"/>
      <c r="L29" s="559"/>
      <c r="M29" s="692"/>
      <c r="N29" s="560"/>
    </row>
    <row r="30" spans="2:19" s="26" customFormat="1" ht="11.25" customHeight="1" x14ac:dyDescent="0.4">
      <c r="B30" s="549"/>
      <c r="C30" s="528"/>
      <c r="D30" s="528"/>
      <c r="E30" s="528"/>
      <c r="F30" s="537"/>
      <c r="G30" s="537"/>
      <c r="H30" s="537"/>
      <c r="I30" s="537"/>
      <c r="J30" s="537"/>
      <c r="K30" s="537"/>
      <c r="L30" s="863"/>
      <c r="M30" s="537"/>
      <c r="N30" s="528"/>
    </row>
    <row r="31" spans="2:19" s="26" customFormat="1" ht="18.75" customHeight="1" x14ac:dyDescent="0.4">
      <c r="B31" s="679" t="s">
        <v>163</v>
      </c>
      <c r="C31" s="528"/>
      <c r="D31" s="528"/>
      <c r="E31" s="528"/>
      <c r="F31" s="528"/>
      <c r="G31" s="528"/>
      <c r="H31" s="528"/>
      <c r="I31" s="528"/>
      <c r="J31" s="528"/>
      <c r="K31" s="528"/>
      <c r="L31" s="528"/>
      <c r="M31" s="528"/>
      <c r="N31" s="528"/>
    </row>
    <row r="32" spans="2:19" s="26" customFormat="1" ht="18.75" customHeight="1" x14ac:dyDescent="0.4">
      <c r="B32" s="116" t="s">
        <v>657</v>
      </c>
      <c r="C32" s="528"/>
      <c r="D32" s="528"/>
      <c r="E32" s="528"/>
      <c r="F32" s="528"/>
      <c r="G32" s="528"/>
      <c r="H32" s="528"/>
      <c r="I32" s="528"/>
      <c r="J32" s="528"/>
      <c r="K32" s="528"/>
      <c r="L32" s="528"/>
      <c r="M32" s="528"/>
      <c r="N32" s="528"/>
    </row>
    <row r="33" spans="2:14" s="19" customFormat="1" ht="22.5" customHeight="1" x14ac:dyDescent="0.25">
      <c r="B33" s="1059"/>
      <c r="C33" s="1059"/>
      <c r="D33" s="1059"/>
      <c r="E33" s="1059"/>
      <c r="F33" s="1059"/>
      <c r="G33" s="1059"/>
      <c r="H33" s="1059"/>
      <c r="I33" s="1059"/>
      <c r="J33" s="1059"/>
      <c r="K33" s="1059"/>
      <c r="L33" s="1059"/>
      <c r="M33" s="1059"/>
      <c r="N33" s="1059"/>
    </row>
    <row r="35" spans="2:14" ht="15" customHeight="1" x14ac:dyDescent="0.2">
      <c r="C35" s="66"/>
      <c r="D35" s="66"/>
      <c r="E35" s="66"/>
      <c r="F35" s="66"/>
      <c r="G35" s="66"/>
      <c r="H35" s="66"/>
      <c r="I35" s="66"/>
      <c r="J35" s="66"/>
      <c r="K35" s="66"/>
      <c r="L35" s="66"/>
      <c r="M35" s="66"/>
      <c r="N35" s="66"/>
    </row>
    <row r="36" spans="2:14" ht="15" customHeight="1" x14ac:dyDescent="0.2">
      <c r="C36" s="67"/>
      <c r="D36" s="67"/>
      <c r="E36" s="67"/>
      <c r="F36" s="67"/>
      <c r="G36" s="67"/>
      <c r="H36" s="67"/>
      <c r="I36" s="67"/>
      <c r="J36" s="67"/>
      <c r="K36" s="67"/>
      <c r="L36" s="67"/>
      <c r="M36" s="67"/>
      <c r="N36" s="67"/>
    </row>
  </sheetData>
  <mergeCells count="2">
    <mergeCell ref="B5:N5"/>
    <mergeCell ref="B33:N33"/>
  </mergeCells>
  <hyperlinks>
    <hyperlink ref="N2" location="'Cover '!A1" display="Back to Cover" xr:uid="{49077E08-3475-43F9-B35F-D0DD0E50A313}"/>
  </hyperlinks>
  <printOptions horizontalCentered="1" verticalCentered="1"/>
  <pageMargins left="0" right="0" top="0" bottom="0" header="0" footer="0"/>
  <pageSetup paperSize="8" scale="96" orientation="landscape"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Q55"/>
  <sheetViews>
    <sheetView showGridLines="0" view="pageBreakPreview" zoomScale="85" zoomScaleNormal="90" zoomScaleSheetLayoutView="85" workbookViewId="0">
      <pane xSplit="2" ySplit="10" topLeftCell="C11" activePane="bottomRight" state="frozen"/>
      <selection pane="topRight" activeCell="C1" sqref="C1"/>
      <selection pane="bottomLeft" activeCell="A11" sqref="A11"/>
      <selection pane="bottomRight" activeCell="B5" sqref="B5:N5"/>
    </sheetView>
  </sheetViews>
  <sheetFormatPr defaultColWidth="9.109375" defaultRowHeight="14.4" x14ac:dyDescent="0.3"/>
  <cols>
    <col min="1" max="1" width="2.44140625" style="27" customWidth="1"/>
    <col min="2" max="2" width="42.88671875" style="27" customWidth="1"/>
    <col min="3" max="14" width="15.6640625" style="27" customWidth="1"/>
    <col min="15" max="15" width="2.44140625" style="27" customWidth="1"/>
    <col min="16" max="16384" width="9.109375" style="27"/>
  </cols>
  <sheetData>
    <row r="1" spans="1:17" ht="15.75" customHeight="1" x14ac:dyDescent="0.35">
      <c r="B1" s="561"/>
      <c r="C1" s="561"/>
      <c r="D1" s="561"/>
      <c r="E1" s="561"/>
      <c r="F1" s="561"/>
      <c r="G1" s="561"/>
      <c r="H1" s="561"/>
      <c r="I1" s="561"/>
      <c r="J1" s="561"/>
      <c r="K1" s="561"/>
      <c r="L1" s="561"/>
      <c r="M1" s="561"/>
      <c r="N1" s="561"/>
    </row>
    <row r="2" spans="1:17" ht="15.75" customHeight="1" x14ac:dyDescent="0.4">
      <c r="B2" s="561"/>
      <c r="C2" s="562"/>
      <c r="D2" s="562"/>
      <c r="E2" s="562"/>
      <c r="F2" s="562"/>
      <c r="G2" s="562"/>
      <c r="H2" s="562"/>
      <c r="I2" s="562"/>
      <c r="J2" s="562"/>
      <c r="K2" s="562"/>
      <c r="L2" s="562"/>
      <c r="M2" s="562"/>
      <c r="N2" s="498" t="s">
        <v>18</v>
      </c>
    </row>
    <row r="3" spans="1:17" ht="15.75" customHeight="1" x14ac:dyDescent="0.35">
      <c r="B3" s="561"/>
      <c r="C3" s="561"/>
      <c r="D3" s="561"/>
      <c r="E3" s="561"/>
      <c r="F3" s="561"/>
      <c r="G3" s="561"/>
      <c r="H3" s="561"/>
      <c r="I3" s="561"/>
      <c r="J3" s="561"/>
      <c r="K3" s="561"/>
      <c r="L3" s="561"/>
      <c r="M3" s="561"/>
      <c r="N3" s="561"/>
    </row>
    <row r="4" spans="1:17" ht="15.75" customHeight="1" x14ac:dyDescent="0.4">
      <c r="B4" s="561"/>
      <c r="C4" s="522"/>
      <c r="D4" s="522"/>
      <c r="E4" s="522"/>
      <c r="F4" s="522"/>
      <c r="G4" s="522"/>
      <c r="H4" s="522"/>
      <c r="I4" s="522"/>
      <c r="J4" s="522"/>
      <c r="K4" s="522"/>
      <c r="L4" s="522"/>
      <c r="M4" s="522"/>
      <c r="N4" s="561"/>
    </row>
    <row r="5" spans="1:17" ht="26.25" customHeight="1" x14ac:dyDescent="0.3">
      <c r="A5" s="28"/>
      <c r="B5" s="1044" t="s">
        <v>40</v>
      </c>
      <c r="C5" s="1044"/>
      <c r="D5" s="1044"/>
      <c r="E5" s="1044"/>
      <c r="F5" s="1044"/>
      <c r="G5" s="1044"/>
      <c r="H5" s="1044"/>
      <c r="I5" s="1044"/>
      <c r="J5" s="1044"/>
      <c r="K5" s="1044"/>
      <c r="L5" s="1044"/>
      <c r="M5" s="1044"/>
      <c r="N5" s="1044"/>
    </row>
    <row r="6" spans="1:17" s="29" customFormat="1" ht="15.6" x14ac:dyDescent="0.3">
      <c r="A6" s="28"/>
      <c r="B6" s="563"/>
      <c r="C6" s="563"/>
      <c r="D6" s="563"/>
      <c r="E6" s="563"/>
      <c r="F6" s="563"/>
      <c r="G6" s="563"/>
      <c r="H6" s="563"/>
      <c r="I6" s="563"/>
      <c r="J6" s="563"/>
      <c r="K6" s="563"/>
      <c r="L6" s="563"/>
      <c r="M6" s="563"/>
      <c r="N6" s="563"/>
    </row>
    <row r="7" spans="1:17" ht="15.6" x14ac:dyDescent="0.35">
      <c r="B7" s="564"/>
      <c r="C7" s="564"/>
      <c r="D7" s="564"/>
      <c r="E7" s="564"/>
      <c r="F7" s="564"/>
      <c r="G7" s="564"/>
      <c r="H7" s="564"/>
      <c r="I7" s="564"/>
      <c r="J7" s="564"/>
      <c r="K7" s="564"/>
      <c r="L7" s="564"/>
      <c r="M7" s="564"/>
      <c r="N7" s="564"/>
    </row>
    <row r="8" spans="1:17" ht="15" customHeight="1" x14ac:dyDescent="0.35">
      <c r="B8" s="564" t="s">
        <v>41</v>
      </c>
      <c r="C8" s="565"/>
      <c r="D8" s="565"/>
      <c r="E8" s="565"/>
      <c r="F8" s="565"/>
      <c r="G8" s="565"/>
      <c r="H8" s="565"/>
      <c r="I8" s="565"/>
      <c r="J8" s="565"/>
      <c r="K8" s="565"/>
      <c r="L8" s="565"/>
      <c r="M8" s="565"/>
      <c r="N8" s="565"/>
    </row>
    <row r="9" spans="1:17" ht="15" customHeight="1" x14ac:dyDescent="0.35">
      <c r="B9" s="564"/>
      <c r="C9" s="565"/>
      <c r="D9" s="565"/>
      <c r="E9" s="565"/>
      <c r="F9" s="565"/>
      <c r="G9" s="565"/>
      <c r="H9" s="565"/>
      <c r="I9" s="565"/>
      <c r="J9" s="565"/>
      <c r="K9" s="565"/>
      <c r="L9" s="565"/>
      <c r="M9" s="565"/>
      <c r="N9" s="565"/>
    </row>
    <row r="10" spans="1:17" s="30" customFormat="1" ht="26.4" customHeight="1" x14ac:dyDescent="0.3">
      <c r="B10" s="587"/>
      <c r="C10" s="508">
        <v>45016</v>
      </c>
      <c r="D10" s="508">
        <v>45107</v>
      </c>
      <c r="E10" s="508">
        <v>45199</v>
      </c>
      <c r="F10" s="508">
        <v>45291</v>
      </c>
      <c r="G10" s="508">
        <v>45382</v>
      </c>
      <c r="H10" s="508">
        <v>45473</v>
      </c>
      <c r="I10" s="508">
        <v>45565</v>
      </c>
      <c r="J10" s="508">
        <v>45657</v>
      </c>
      <c r="K10" s="508">
        <v>45747</v>
      </c>
      <c r="L10" s="508">
        <v>45838</v>
      </c>
      <c r="M10" s="521">
        <v>45930</v>
      </c>
      <c r="N10" s="508">
        <v>46022</v>
      </c>
    </row>
    <row r="11" spans="1:17" ht="20.25" customHeight="1" x14ac:dyDescent="0.35">
      <c r="B11" s="566"/>
      <c r="C11" s="566"/>
      <c r="D11" s="566"/>
      <c r="E11" s="566"/>
      <c r="F11" s="566"/>
      <c r="G11" s="566"/>
      <c r="H11" s="566"/>
      <c r="I11" s="566"/>
      <c r="J11" s="566"/>
      <c r="K11" s="566"/>
      <c r="L11" s="566"/>
      <c r="M11" s="573"/>
      <c r="N11" s="566"/>
    </row>
    <row r="12" spans="1:17" ht="24" customHeight="1" x14ac:dyDescent="0.3">
      <c r="B12" s="583" t="s">
        <v>253</v>
      </c>
      <c r="C12" s="572"/>
      <c r="D12" s="572"/>
      <c r="E12" s="572"/>
      <c r="F12" s="572"/>
      <c r="G12" s="572"/>
      <c r="H12" s="572"/>
      <c r="I12" s="572"/>
      <c r="J12" s="572"/>
      <c r="K12" s="572"/>
      <c r="L12" s="572"/>
      <c r="M12" s="574"/>
      <c r="N12" s="572"/>
    </row>
    <row r="13" spans="1:17" ht="15.6" x14ac:dyDescent="0.35">
      <c r="B13" s="584" t="s">
        <v>52</v>
      </c>
      <c r="C13" s="585"/>
      <c r="D13" s="585"/>
      <c r="E13" s="585"/>
      <c r="F13" s="585"/>
      <c r="G13" s="585"/>
      <c r="H13" s="585"/>
      <c r="I13" s="585"/>
      <c r="J13" s="585"/>
      <c r="K13" s="585"/>
      <c r="L13" s="585"/>
      <c r="M13" s="586"/>
      <c r="N13" s="585"/>
    </row>
    <row r="14" spans="1:17" s="31" customFormat="1" ht="15" customHeight="1" x14ac:dyDescent="0.35">
      <c r="B14" s="567" t="s">
        <v>60</v>
      </c>
      <c r="C14" s="568">
        <v>3779.8510980000001</v>
      </c>
      <c r="D14" s="568">
        <v>3865.9960590000001</v>
      </c>
      <c r="E14" s="568">
        <v>4110.370457</v>
      </c>
      <c r="F14" s="568">
        <v>4326.7381299999997</v>
      </c>
      <c r="G14" s="568">
        <v>4494.4756909999996</v>
      </c>
      <c r="H14" s="568">
        <v>4729.2096068473256</v>
      </c>
      <c r="I14" s="568">
        <v>4944.4027484886201</v>
      </c>
      <c r="J14" s="568">
        <v>4935.617174</v>
      </c>
      <c r="K14" s="568">
        <v>5086</v>
      </c>
      <c r="L14" s="568">
        <v>5125.000344</v>
      </c>
      <c r="M14" s="575">
        <v>5282.8836739999997</v>
      </c>
      <c r="N14" s="568">
        <v>4576.8433370000002</v>
      </c>
      <c r="Q14" s="882"/>
    </row>
    <row r="15" spans="1:17" ht="15.6" x14ac:dyDescent="0.35">
      <c r="B15" s="567" t="s">
        <v>58</v>
      </c>
      <c r="C15" s="568">
        <v>5273.5551919999998</v>
      </c>
      <c r="D15" s="568">
        <v>5360.4137840000003</v>
      </c>
      <c r="E15" s="568">
        <v>5604.9866160000001</v>
      </c>
      <c r="F15" s="568">
        <v>5821.8881970000002</v>
      </c>
      <c r="G15" s="568">
        <v>6085.0819289999999</v>
      </c>
      <c r="H15" s="568">
        <v>6336.9569688473248</v>
      </c>
      <c r="I15" s="568">
        <v>6698.9759459332199</v>
      </c>
      <c r="J15" s="568">
        <v>6708.1066760000003</v>
      </c>
      <c r="K15" s="568">
        <v>6877</v>
      </c>
      <c r="L15" s="568">
        <v>7297.8168839999998</v>
      </c>
      <c r="M15" s="575">
        <v>7439.3389260000004</v>
      </c>
      <c r="N15" s="568">
        <v>6751.7597379999997</v>
      </c>
      <c r="Q15" s="882"/>
    </row>
    <row r="16" spans="1:17" ht="15.6" x14ac:dyDescent="0.35">
      <c r="B16" s="567" t="s">
        <v>59</v>
      </c>
      <c r="C16" s="568">
        <v>31082.554315000001</v>
      </c>
      <c r="D16" s="568">
        <v>31617.013011999999</v>
      </c>
      <c r="E16" s="568">
        <v>32172.703530999999</v>
      </c>
      <c r="F16" s="568">
        <v>32765.057611</v>
      </c>
      <c r="G16" s="568">
        <v>33051.265322618674</v>
      </c>
      <c r="H16" s="568">
        <v>34143.051293999997</v>
      </c>
      <c r="I16" s="568">
        <v>33708.738581787897</v>
      </c>
      <c r="J16" s="568">
        <v>34098.476318000001</v>
      </c>
      <c r="K16" s="568">
        <v>35807</v>
      </c>
      <c r="L16" s="568">
        <v>36118.630502</v>
      </c>
      <c r="M16" s="575">
        <v>36604.191288000002</v>
      </c>
      <c r="N16" s="568">
        <v>36025.367651</v>
      </c>
    </row>
    <row r="17" spans="2:17" ht="15.6" x14ac:dyDescent="0.35">
      <c r="B17" s="569" t="s">
        <v>61</v>
      </c>
      <c r="C17" s="570">
        <v>0.12160683641678371</v>
      </c>
      <c r="D17" s="570">
        <v>0.12227581579362637</v>
      </c>
      <c r="E17" s="570">
        <v>0.12775956030675054</v>
      </c>
      <c r="F17" s="570">
        <v>0.13205342659148606</v>
      </c>
      <c r="G17" s="570">
        <v>0.13598498112337623</v>
      </c>
      <c r="H17" s="570">
        <v>0.13851162762592328</v>
      </c>
      <c r="I17" s="570">
        <v>0.14668014753776559</v>
      </c>
      <c r="J17" s="570">
        <v>0.14474597421804952</v>
      </c>
      <c r="K17" s="570">
        <v>0.14203926606529449</v>
      </c>
      <c r="L17" s="570">
        <v>0.14189354005867452</v>
      </c>
      <c r="M17" s="576">
        <v>0.14432455650869397</v>
      </c>
      <c r="N17" s="570">
        <v>0.12704501398399901</v>
      </c>
    </row>
    <row r="18" spans="2:17" ht="15.6" x14ac:dyDescent="0.35">
      <c r="B18" s="569" t="s">
        <v>62</v>
      </c>
      <c r="C18" s="570">
        <v>0.16966286420852666</v>
      </c>
      <c r="D18" s="570">
        <v>0.16954206844161704</v>
      </c>
      <c r="E18" s="570">
        <v>0.17421559274927942</v>
      </c>
      <c r="F18" s="570">
        <v>0.17768588311730774</v>
      </c>
      <c r="G18" s="570">
        <v>0.18411040756238964</v>
      </c>
      <c r="H18" s="570">
        <v>0.18560019473013317</v>
      </c>
      <c r="I18" s="570">
        <v>0.1987311370219155</v>
      </c>
      <c r="J18" s="570">
        <v>0.19672746117570378</v>
      </c>
      <c r="K18" s="570">
        <v>0.19205741894043063</v>
      </c>
      <c r="L18" s="570">
        <v>0.20205131763220915</v>
      </c>
      <c r="M18" s="576">
        <v>0.20323735245146224</v>
      </c>
      <c r="N18" s="570">
        <v>0.18741681704426916</v>
      </c>
    </row>
    <row r="19" spans="2:17" ht="15" x14ac:dyDescent="0.35">
      <c r="B19" s="566"/>
      <c r="C19" s="566"/>
      <c r="D19" s="566"/>
      <c r="E19" s="566"/>
      <c r="F19" s="566"/>
      <c r="G19" s="571"/>
      <c r="H19" s="571"/>
      <c r="I19" s="571"/>
      <c r="J19" s="571"/>
      <c r="K19" s="571"/>
      <c r="L19" s="571"/>
      <c r="M19" s="577"/>
      <c r="N19" s="571"/>
    </row>
    <row r="20" spans="2:17" ht="19.2" x14ac:dyDescent="0.35">
      <c r="B20" s="569" t="s">
        <v>363</v>
      </c>
      <c r="C20" s="578"/>
      <c r="D20" s="578"/>
      <c r="E20" s="578"/>
      <c r="F20" s="578"/>
      <c r="G20" s="578"/>
      <c r="H20" s="578"/>
      <c r="I20" s="578"/>
      <c r="J20" s="578"/>
      <c r="K20" s="578"/>
      <c r="L20" s="578"/>
      <c r="M20" s="579"/>
      <c r="N20" s="578"/>
    </row>
    <row r="21" spans="2:17" ht="15.6" x14ac:dyDescent="0.35">
      <c r="B21" s="580" t="s">
        <v>60</v>
      </c>
      <c r="C21" s="581">
        <v>3779.8510980000001</v>
      </c>
      <c r="D21" s="581">
        <v>3865.9960590000001</v>
      </c>
      <c r="E21" s="581">
        <v>4110.370457</v>
      </c>
      <c r="F21" s="581">
        <v>4326.7381299999997</v>
      </c>
      <c r="G21" s="581">
        <v>4494.4756909999996</v>
      </c>
      <c r="H21" s="581">
        <v>4729.2096068473256</v>
      </c>
      <c r="I21" s="581">
        <v>4944.4027484886201</v>
      </c>
      <c r="J21" s="581">
        <v>4935.617174</v>
      </c>
      <c r="K21" s="581">
        <v>5086</v>
      </c>
      <c r="L21" s="581">
        <v>5125.000344</v>
      </c>
      <c r="M21" s="582">
        <v>5282.8836739999997</v>
      </c>
      <c r="N21" s="581" t="s">
        <v>143</v>
      </c>
    </row>
    <row r="22" spans="2:17" ht="15.6" x14ac:dyDescent="0.35">
      <c r="B22" s="567" t="s">
        <v>58</v>
      </c>
      <c r="C22" s="568">
        <v>5273.5551919999998</v>
      </c>
      <c r="D22" s="568">
        <v>5360.4137840000003</v>
      </c>
      <c r="E22" s="568">
        <v>5604.9866160000001</v>
      </c>
      <c r="F22" s="568">
        <v>5921.8881970000002</v>
      </c>
      <c r="G22" s="568">
        <v>6085.0819289999999</v>
      </c>
      <c r="H22" s="568">
        <v>6486.9569688473248</v>
      </c>
      <c r="I22" s="568">
        <v>6698.9759459332199</v>
      </c>
      <c r="J22" s="568">
        <v>6708.1066760000003</v>
      </c>
      <c r="K22" s="568">
        <v>6877</v>
      </c>
      <c r="L22" s="568">
        <v>7297.8168839999998</v>
      </c>
      <c r="M22" s="575">
        <v>7439.3389260000004</v>
      </c>
      <c r="N22" s="568" t="s">
        <v>143</v>
      </c>
      <c r="Q22" s="882"/>
    </row>
    <row r="23" spans="2:17" ht="15.6" x14ac:dyDescent="0.35">
      <c r="B23" s="567" t="s">
        <v>59</v>
      </c>
      <c r="C23" s="568">
        <v>31082.554315000001</v>
      </c>
      <c r="D23" s="568">
        <v>31336.371346</v>
      </c>
      <c r="E23" s="568">
        <v>31926.632594999999</v>
      </c>
      <c r="F23" s="568">
        <v>32557.058400999998</v>
      </c>
      <c r="G23" s="568">
        <v>32856.039396618675</v>
      </c>
      <c r="H23" s="568">
        <v>33355.959430999996</v>
      </c>
      <c r="I23" s="568">
        <v>33614.364662787899</v>
      </c>
      <c r="J23" s="568">
        <v>33633.43932243</v>
      </c>
      <c r="K23" s="568">
        <v>35337.735999999997</v>
      </c>
      <c r="L23" s="568">
        <v>35697.749501999999</v>
      </c>
      <c r="M23" s="575">
        <v>36149.924288000002</v>
      </c>
      <c r="N23" s="568" t="s">
        <v>143</v>
      </c>
      <c r="P23" s="677"/>
    </row>
    <row r="24" spans="2:17" ht="15.6" x14ac:dyDescent="0.35">
      <c r="B24" s="569" t="s">
        <v>61</v>
      </c>
      <c r="C24" s="570">
        <v>0.12160683641678371</v>
      </c>
      <c r="D24" s="570">
        <v>0.12337089117031681</v>
      </c>
      <c r="E24" s="570">
        <v>0.12874425277295676</v>
      </c>
      <c r="F24" s="570">
        <v>0.13289708415017934</v>
      </c>
      <c r="G24" s="570">
        <v>0.13679298459395386</v>
      </c>
      <c r="H24" s="570">
        <v>0.14178005032744298</v>
      </c>
      <c r="I24" s="570">
        <v>0.14709195899103877</v>
      </c>
      <c r="J24" s="570">
        <v>0.14674732270715049</v>
      </c>
      <c r="K24" s="570">
        <v>0.14392546257066385</v>
      </c>
      <c r="L24" s="570">
        <v>0.14356648291548091</v>
      </c>
      <c r="M24" s="576">
        <v>0.1461381670377013</v>
      </c>
      <c r="N24" s="570" t="s">
        <v>143</v>
      </c>
    </row>
    <row r="25" spans="2:17" ht="15.6" x14ac:dyDescent="0.35">
      <c r="B25" s="569" t="s">
        <v>62</v>
      </c>
      <c r="C25" s="570">
        <v>0.16966286420852666</v>
      </c>
      <c r="D25" s="570">
        <v>0.17106045000593989</v>
      </c>
      <c r="E25" s="570">
        <v>0.1755583398694478</v>
      </c>
      <c r="F25" s="570">
        <v>0.18189260602297253</v>
      </c>
      <c r="G25" s="570">
        <v>0.18520436549105904</v>
      </c>
      <c r="H25" s="570">
        <v>0.19447670160009092</v>
      </c>
      <c r="I25" s="570">
        <v>0.19928908409056398</v>
      </c>
      <c r="J25" s="570">
        <v>0.19944753825774791</v>
      </c>
      <c r="K25" s="570">
        <v>0.19460782660213435</v>
      </c>
      <c r="L25" s="570">
        <v>0.20443352832623618</v>
      </c>
      <c r="M25" s="576">
        <v>0.2057912726658046</v>
      </c>
      <c r="N25" s="570" t="s">
        <v>143</v>
      </c>
    </row>
    <row r="26" spans="2:17" ht="15" x14ac:dyDescent="0.35">
      <c r="B26" s="566"/>
      <c r="C26" s="566"/>
      <c r="D26" s="566"/>
      <c r="E26" s="566"/>
      <c r="F26" s="566"/>
      <c r="G26" s="566"/>
      <c r="H26" s="566"/>
      <c r="I26" s="566"/>
      <c r="J26" s="566"/>
      <c r="K26" s="566"/>
      <c r="L26" s="566"/>
      <c r="M26" s="573"/>
      <c r="N26" s="566"/>
    </row>
    <row r="27" spans="2:17" ht="22.5" customHeight="1" x14ac:dyDescent="0.3">
      <c r="B27" s="583" t="s">
        <v>396</v>
      </c>
      <c r="C27" s="572"/>
      <c r="D27" s="572"/>
      <c r="E27" s="572"/>
      <c r="F27" s="572"/>
      <c r="G27" s="572"/>
      <c r="H27" s="572"/>
      <c r="I27" s="572"/>
      <c r="J27" s="572"/>
      <c r="K27" s="572"/>
      <c r="L27" s="572"/>
      <c r="M27" s="574"/>
      <c r="N27" s="572"/>
    </row>
    <row r="28" spans="2:17" ht="15.6" x14ac:dyDescent="0.35">
      <c r="B28" s="584"/>
      <c r="C28" s="585"/>
      <c r="D28" s="585"/>
      <c r="E28" s="585"/>
      <c r="F28" s="585"/>
      <c r="G28" s="585"/>
      <c r="H28" s="585"/>
      <c r="I28" s="585"/>
      <c r="J28" s="585"/>
      <c r="K28" s="585"/>
      <c r="L28" s="585"/>
      <c r="M28" s="586"/>
      <c r="N28" s="585"/>
    </row>
    <row r="29" spans="2:17" ht="15.6" x14ac:dyDescent="0.35">
      <c r="B29" s="567" t="s">
        <v>58</v>
      </c>
      <c r="C29" s="568">
        <v>5225.0679479999999</v>
      </c>
      <c r="D29" s="568">
        <v>5320.1079710000004</v>
      </c>
      <c r="E29" s="568">
        <v>5575.7808599999998</v>
      </c>
      <c r="F29" s="568">
        <v>5900.8378039999998</v>
      </c>
      <c r="G29" s="568">
        <v>6103.9310939999996</v>
      </c>
      <c r="H29" s="568">
        <v>6493.4118959999996</v>
      </c>
      <c r="I29" s="568">
        <v>6747.104557556866</v>
      </c>
      <c r="J29" s="568">
        <v>6762.6010619999997</v>
      </c>
      <c r="K29" s="568">
        <v>6874</v>
      </c>
      <c r="L29" s="568">
        <v>7323.5418170000003</v>
      </c>
      <c r="M29" s="575">
        <v>7464.1621640000003</v>
      </c>
      <c r="N29" s="568">
        <v>6751.7597379999997</v>
      </c>
      <c r="Q29" s="882"/>
    </row>
    <row r="30" spans="2:17" ht="15.6" x14ac:dyDescent="0.35">
      <c r="B30" s="567" t="s">
        <v>286</v>
      </c>
      <c r="C30" s="568">
        <v>921.37388099999998</v>
      </c>
      <c r="D30" s="568">
        <v>1418.2159300000001</v>
      </c>
      <c r="E30" s="568">
        <v>1415.4900692599999</v>
      </c>
      <c r="F30" s="568">
        <v>1911.4548856900001</v>
      </c>
      <c r="G30" s="568">
        <v>2408.6541706799999</v>
      </c>
      <c r="H30" s="568">
        <v>3055.8562978</v>
      </c>
      <c r="I30" s="568">
        <v>3053.05333638</v>
      </c>
      <c r="J30" s="568">
        <v>3050.23404858</v>
      </c>
      <c r="K30" s="568">
        <v>3047.40962094</v>
      </c>
      <c r="L30" s="568">
        <v>3544.6000783499999</v>
      </c>
      <c r="M30" s="575">
        <f>3500+41.7954907</f>
        <v>3541.7954906999998</v>
      </c>
      <c r="N30" s="568">
        <f>3650+39.01015358</f>
        <v>3689.01015358</v>
      </c>
    </row>
    <row r="31" spans="2:17" ht="15.6" x14ac:dyDescent="0.35">
      <c r="B31" s="567" t="s">
        <v>59</v>
      </c>
      <c r="C31" s="568">
        <v>30907.121765</v>
      </c>
      <c r="D31" s="568">
        <v>31154.769199999999</v>
      </c>
      <c r="E31" s="568">
        <v>32044.982413999998</v>
      </c>
      <c r="F31" s="568">
        <v>32441.083143999997</v>
      </c>
      <c r="G31" s="568">
        <v>32764.578960577099</v>
      </c>
      <c r="H31" s="568">
        <v>33264.057677999997</v>
      </c>
      <c r="I31" s="568">
        <v>33643.005104000003</v>
      </c>
      <c r="J31" s="568">
        <v>33624.28539243</v>
      </c>
      <c r="K31" s="568">
        <v>35193.735999999997</v>
      </c>
      <c r="L31" s="568">
        <v>35719.963731999997</v>
      </c>
      <c r="M31" s="575">
        <v>36176.351712000003</v>
      </c>
      <c r="N31" s="568">
        <v>36025.367651</v>
      </c>
      <c r="P31" s="677"/>
    </row>
    <row r="32" spans="2:17" ht="15.6" x14ac:dyDescent="0.35">
      <c r="B32" s="569" t="s">
        <v>285</v>
      </c>
      <c r="C32" s="570">
        <v>0.19886814035075842</v>
      </c>
      <c r="D32" s="570">
        <v>0.21628547005894688</v>
      </c>
      <c r="E32" s="570">
        <v>0.21817053412410714</v>
      </c>
      <c r="F32" s="570">
        <v>0.24081479200348122</v>
      </c>
      <c r="G32" s="570">
        <v>0.25981061056583354</v>
      </c>
      <c r="H32" s="570">
        <v>0.28707466437913387</v>
      </c>
      <c r="I32" s="570">
        <v>0.29129852888116914</v>
      </c>
      <c r="J32" s="570">
        <v>0.29183772966634441</v>
      </c>
      <c r="K32" s="570">
        <v>0.28190839474786084</v>
      </c>
      <c r="L32" s="570">
        <v>0.30425960051055972</v>
      </c>
      <c r="M32" s="576">
        <v>0.30423072349358082</v>
      </c>
      <c r="N32" s="570">
        <v>0.28981716419180481</v>
      </c>
    </row>
    <row r="33" spans="2:14" ht="15.6" x14ac:dyDescent="0.35">
      <c r="B33" s="569"/>
      <c r="C33" s="570"/>
      <c r="D33" s="570"/>
      <c r="E33" s="570"/>
      <c r="F33" s="570"/>
      <c r="G33" s="570"/>
      <c r="H33" s="570"/>
      <c r="I33" s="570"/>
      <c r="J33" s="570"/>
      <c r="K33" s="570"/>
      <c r="L33" s="570"/>
      <c r="M33" s="576"/>
      <c r="N33" s="570"/>
    </row>
    <row r="34" spans="2:14" ht="22.5" customHeight="1" x14ac:dyDescent="0.3">
      <c r="B34" s="583" t="s">
        <v>702</v>
      </c>
      <c r="C34" s="572"/>
      <c r="D34" s="572"/>
      <c r="E34" s="572"/>
      <c r="F34" s="572"/>
      <c r="G34" s="572"/>
      <c r="H34" s="572"/>
      <c r="I34" s="572"/>
      <c r="J34" s="572"/>
      <c r="K34" s="572"/>
      <c r="L34" s="572"/>
      <c r="M34" s="574"/>
      <c r="N34" s="572"/>
    </row>
    <row r="35" spans="2:14" ht="16.5" customHeight="1" x14ac:dyDescent="0.35">
      <c r="B35" s="584"/>
      <c r="C35" s="585"/>
      <c r="D35" s="585"/>
      <c r="E35" s="585"/>
      <c r="F35" s="585"/>
      <c r="G35" s="585"/>
      <c r="H35" s="585"/>
      <c r="I35" s="585"/>
      <c r="J35" s="585"/>
      <c r="K35" s="585"/>
      <c r="L35" s="585"/>
      <c r="M35" s="586"/>
      <c r="N35" s="585"/>
    </row>
    <row r="36" spans="2:14" ht="22.5" customHeight="1" x14ac:dyDescent="0.35">
      <c r="B36" s="567" t="s">
        <v>702</v>
      </c>
      <c r="C36" s="568">
        <v>3440.3170777951</v>
      </c>
      <c r="D36" s="568">
        <v>3394.4680645216999</v>
      </c>
      <c r="E36" s="568">
        <v>3348.6191556173926</v>
      </c>
      <c r="F36" s="568">
        <v>3302.7706984370798</v>
      </c>
      <c r="G36" s="568">
        <v>3256.92178949258</v>
      </c>
      <c r="H36" s="568">
        <v>3211.0728811644799</v>
      </c>
      <c r="I36" s="568">
        <v>3165.3228811644799</v>
      </c>
      <c r="J36" s="568">
        <v>3119.5728811644799</v>
      </c>
      <c r="K36" s="568">
        <v>3032.6428811644801</v>
      </c>
      <c r="L36" s="568">
        <v>2946.8728811644801</v>
      </c>
      <c r="M36" s="575">
        <v>2863.2778811644803</v>
      </c>
      <c r="N36" s="568">
        <v>2762.5728811644803</v>
      </c>
    </row>
    <row r="37" spans="2:14" ht="22.5" customHeight="1" x14ac:dyDescent="0.35">
      <c r="B37" s="567" t="s">
        <v>703</v>
      </c>
      <c r="C37" s="1034">
        <v>0.91017264664617215</v>
      </c>
      <c r="D37" s="1034">
        <v>0.87803195158965885</v>
      </c>
      <c r="E37" s="1034">
        <v>0.81467575505625345</v>
      </c>
      <c r="F37" s="1034">
        <v>0.76333963350748935</v>
      </c>
      <c r="G37" s="1034">
        <v>0.7246499955521909</v>
      </c>
      <c r="H37" s="1034">
        <v>0.67898721945316898</v>
      </c>
      <c r="I37" s="1034">
        <v>0.64018305995239566</v>
      </c>
      <c r="J37" s="1034">
        <v>0.63205325113095567</v>
      </c>
      <c r="K37" s="1034">
        <v>0.59627268603312622</v>
      </c>
      <c r="L37" s="1034">
        <v>0.57499954797358743</v>
      </c>
      <c r="M37" s="1035">
        <v>0.54199146864737124</v>
      </c>
      <c r="N37" s="1034">
        <v>0.6035978681707016</v>
      </c>
    </row>
    <row r="38" spans="2:14" ht="15.6" x14ac:dyDescent="0.35">
      <c r="B38" s="569"/>
      <c r="C38" s="570"/>
      <c r="D38" s="570"/>
      <c r="E38" s="570"/>
      <c r="F38" s="570"/>
      <c r="G38" s="570"/>
      <c r="H38" s="570"/>
      <c r="I38" s="570"/>
      <c r="J38" s="570"/>
      <c r="K38" s="570"/>
      <c r="L38" s="570"/>
      <c r="M38" s="576"/>
      <c r="N38" s="570"/>
    </row>
    <row r="39" spans="2:14" ht="22.5" customHeight="1" x14ac:dyDescent="0.3">
      <c r="B39" s="583" t="s">
        <v>477</v>
      </c>
      <c r="C39" s="572"/>
      <c r="D39" s="572"/>
      <c r="E39" s="572"/>
      <c r="F39" s="572"/>
      <c r="G39" s="572"/>
      <c r="H39" s="572"/>
      <c r="I39" s="572"/>
      <c r="J39" s="572"/>
      <c r="K39" s="572"/>
      <c r="L39" s="572"/>
      <c r="M39" s="574"/>
      <c r="N39" s="572"/>
    </row>
    <row r="40" spans="2:14" ht="22.5" customHeight="1" x14ac:dyDescent="0.3">
      <c r="B40" s="827"/>
      <c r="C40" s="828"/>
      <c r="D40" s="828"/>
      <c r="E40" s="828"/>
      <c r="F40" s="828"/>
      <c r="G40" s="828"/>
      <c r="H40" s="828"/>
      <c r="I40" s="828"/>
      <c r="J40" s="828"/>
      <c r="K40" s="828"/>
      <c r="L40" s="828"/>
      <c r="M40" s="832"/>
      <c r="N40" s="828"/>
    </row>
    <row r="41" spans="2:14" ht="16.5" customHeight="1" x14ac:dyDescent="0.35">
      <c r="B41" s="829" t="s">
        <v>478</v>
      </c>
      <c r="C41" s="830"/>
      <c r="D41" s="830"/>
      <c r="E41" s="830"/>
      <c r="F41" s="833">
        <v>0.08</v>
      </c>
      <c r="G41" s="833">
        <v>0.08</v>
      </c>
      <c r="H41" s="833">
        <v>0.08</v>
      </c>
      <c r="I41" s="833">
        <v>0.08</v>
      </c>
      <c r="J41" s="833">
        <v>0.08</v>
      </c>
      <c r="K41" s="833">
        <v>0.08</v>
      </c>
      <c r="L41" s="833">
        <v>0.08</v>
      </c>
      <c r="M41" s="936">
        <v>0.08</v>
      </c>
      <c r="N41" s="891">
        <v>0.08</v>
      </c>
    </row>
    <row r="42" spans="2:14" ht="16.5" customHeight="1" x14ac:dyDescent="0.3">
      <c r="B42" s="567" t="s">
        <v>479</v>
      </c>
      <c r="C42" s="828"/>
      <c r="D42" s="828"/>
      <c r="E42" s="828"/>
      <c r="F42" s="836">
        <v>0.03</v>
      </c>
      <c r="G42" s="836">
        <v>0.03</v>
      </c>
      <c r="H42" s="836">
        <v>0.03</v>
      </c>
      <c r="I42" s="836">
        <v>0.03</v>
      </c>
      <c r="J42" s="836">
        <v>0.03</v>
      </c>
      <c r="K42" s="836">
        <v>2.9000000000000001E-2</v>
      </c>
      <c r="L42" s="836">
        <v>2.9000000000000001E-2</v>
      </c>
      <c r="M42" s="835">
        <v>2.9000000000000001E-2</v>
      </c>
      <c r="N42" s="892">
        <v>2.9000000000000001E-2</v>
      </c>
    </row>
    <row r="43" spans="2:14" ht="16.5" customHeight="1" x14ac:dyDescent="0.3">
      <c r="B43" s="567" t="s">
        <v>480</v>
      </c>
      <c r="C43" s="828"/>
      <c r="D43" s="828"/>
      <c r="E43" s="828"/>
      <c r="F43" s="836">
        <v>2.5000000000000001E-2</v>
      </c>
      <c r="G43" s="836">
        <v>2.5000000000000001E-2</v>
      </c>
      <c r="H43" s="836">
        <v>2.5000000000000001E-2</v>
      </c>
      <c r="I43" s="836">
        <v>2.5000000000000001E-2</v>
      </c>
      <c r="J43" s="836">
        <v>2.5000000000000001E-2</v>
      </c>
      <c r="K43" s="836">
        <v>2.5000000000000001E-2</v>
      </c>
      <c r="L43" s="836">
        <v>2.5000000000000001E-2</v>
      </c>
      <c r="M43" s="835">
        <v>2.5000000000000001E-2</v>
      </c>
      <c r="N43" s="892">
        <v>2.5000000000000001E-2</v>
      </c>
    </row>
    <row r="44" spans="2:14" ht="16.5" customHeight="1" x14ac:dyDescent="0.3">
      <c r="B44" s="567" t="s">
        <v>481</v>
      </c>
      <c r="C44" s="828"/>
      <c r="D44" s="828"/>
      <c r="E44" s="828"/>
      <c r="F44" s="836">
        <v>0.01</v>
      </c>
      <c r="G44" s="836">
        <v>0.01</v>
      </c>
      <c r="H44" s="836">
        <v>0.01</v>
      </c>
      <c r="I44" s="836">
        <v>0.01</v>
      </c>
      <c r="J44" s="836">
        <v>0.01</v>
      </c>
      <c r="K44" s="836">
        <v>0.01</v>
      </c>
      <c r="L44" s="836">
        <v>0.01</v>
      </c>
      <c r="M44" s="835">
        <v>0.01</v>
      </c>
      <c r="N44" s="892">
        <v>0.01</v>
      </c>
    </row>
    <row r="45" spans="2:14" ht="16.5" customHeight="1" x14ac:dyDescent="0.35">
      <c r="B45" s="567" t="s">
        <v>502</v>
      </c>
      <c r="C45" s="570"/>
      <c r="D45" s="570"/>
      <c r="E45" s="570"/>
      <c r="F45" s="834">
        <v>6.9999999999999999E-4</v>
      </c>
      <c r="G45" s="834">
        <v>6.9999999999999999E-4</v>
      </c>
      <c r="H45" s="834">
        <v>8.0000000000000004E-4</v>
      </c>
      <c r="I45" s="834">
        <v>8.9999999999999998E-4</v>
      </c>
      <c r="J45" s="834">
        <v>8.9999999999999998E-4</v>
      </c>
      <c r="K45" s="834">
        <v>1.1999999999999999E-3</v>
      </c>
      <c r="L45" s="836">
        <v>1.4E-3</v>
      </c>
      <c r="M45" s="835">
        <v>3.3E-3</v>
      </c>
      <c r="N45" s="892">
        <v>3.3495E-3</v>
      </c>
    </row>
    <row r="46" spans="2:14" ht="16.5" customHeight="1" x14ac:dyDescent="0.35">
      <c r="B46" s="829" t="s">
        <v>482</v>
      </c>
      <c r="C46" s="831"/>
      <c r="D46" s="831"/>
      <c r="E46" s="831"/>
      <c r="F46" s="833">
        <v>9.7600000000000006E-2</v>
      </c>
      <c r="G46" s="833">
        <v>9.7600000000000006E-2</v>
      </c>
      <c r="H46" s="833">
        <v>9.7699999999999995E-2</v>
      </c>
      <c r="I46" s="833">
        <v>9.7799999999999998E-2</v>
      </c>
      <c r="J46" s="833">
        <v>9.7799999999999998E-2</v>
      </c>
      <c r="K46" s="833">
        <v>9.7500000000000003E-2</v>
      </c>
      <c r="L46" s="833">
        <v>9.7699999999999995E-2</v>
      </c>
      <c r="M46" s="936">
        <v>9.9612499999999993E-2</v>
      </c>
      <c r="N46" s="891">
        <v>9.9699999999999997E-2</v>
      </c>
    </row>
    <row r="47" spans="2:14" ht="16.5" customHeight="1" x14ac:dyDescent="0.35">
      <c r="B47" s="567" t="s">
        <v>483</v>
      </c>
      <c r="C47" s="570"/>
      <c r="D47" s="570"/>
      <c r="E47" s="570"/>
      <c r="F47" s="834">
        <v>0.1457</v>
      </c>
      <c r="G47" s="834">
        <v>0.1457</v>
      </c>
      <c r="H47" s="834">
        <v>0.14580000000000001</v>
      </c>
      <c r="I47" s="834">
        <v>0.1459</v>
      </c>
      <c r="J47" s="834">
        <v>0.1459</v>
      </c>
      <c r="K47" s="834">
        <v>0.1452</v>
      </c>
      <c r="L47" s="834">
        <v>0.1454</v>
      </c>
      <c r="M47" s="937">
        <v>0.14729999999999999</v>
      </c>
      <c r="N47" s="837">
        <v>0.14729999999999999</v>
      </c>
    </row>
    <row r="48" spans="2:14" ht="16.5" customHeight="1" x14ac:dyDescent="0.35">
      <c r="B48" s="567" t="s">
        <v>484</v>
      </c>
      <c r="C48" s="570"/>
      <c r="D48" s="570"/>
      <c r="E48" s="570"/>
      <c r="F48" s="837">
        <v>1.7500000000000002E-2</v>
      </c>
      <c r="G48" s="837">
        <v>1.2500000000000001E-2</v>
      </c>
      <c r="H48" s="837">
        <v>1.2500000000000001E-2</v>
      </c>
      <c r="I48" s="837">
        <v>1.2500000000000001E-2</v>
      </c>
      <c r="J48" s="834">
        <v>1.2500000000000001E-2</v>
      </c>
      <c r="K48" s="834">
        <v>1.2500000000000001E-2</v>
      </c>
      <c r="L48" s="834">
        <v>1.2500000000000001E-2</v>
      </c>
      <c r="M48" s="937">
        <v>1.2500000000000001E-2</v>
      </c>
      <c r="N48" s="837">
        <v>1.2500000000000001E-2</v>
      </c>
    </row>
    <row r="49" spans="2:14" ht="16.5" customHeight="1" x14ac:dyDescent="0.35">
      <c r="B49" s="567" t="s">
        <v>485</v>
      </c>
      <c r="C49" s="570"/>
      <c r="D49" s="570"/>
      <c r="E49" s="570"/>
      <c r="F49" s="837">
        <f t="shared" ref="F49:K49" si="0">F47+F48</f>
        <v>0.16320000000000001</v>
      </c>
      <c r="G49" s="837">
        <f t="shared" si="0"/>
        <v>0.15820000000000001</v>
      </c>
      <c r="H49" s="837">
        <f t="shared" si="0"/>
        <v>0.15830000000000002</v>
      </c>
      <c r="I49" s="837">
        <f t="shared" si="0"/>
        <v>0.15840000000000001</v>
      </c>
      <c r="J49" s="837">
        <f>J47+J48</f>
        <v>0.15840000000000001</v>
      </c>
      <c r="K49" s="837">
        <f t="shared" si="0"/>
        <v>0.15770000000000001</v>
      </c>
      <c r="L49" s="834">
        <f>+L48+L47</f>
        <v>0.15790000000000001</v>
      </c>
      <c r="M49" s="937">
        <f>+M48+M47</f>
        <v>0.1598</v>
      </c>
      <c r="N49" s="837">
        <f>+N48+N47</f>
        <v>0.1598</v>
      </c>
    </row>
    <row r="50" spans="2:14" ht="16.5" customHeight="1" x14ac:dyDescent="0.35">
      <c r="B50" s="567" t="s">
        <v>486</v>
      </c>
      <c r="C50" s="570"/>
      <c r="D50" s="570"/>
      <c r="E50" s="570"/>
      <c r="F50" s="834">
        <f>18.31%+F43+F44+F45</f>
        <v>0.21879999999999999</v>
      </c>
      <c r="G50" s="834">
        <f>18.31%+G43+G44+G45</f>
        <v>0.21879999999999999</v>
      </c>
      <c r="H50" s="834">
        <f>18.31%+H43+H44+H45</f>
        <v>0.21889999999999998</v>
      </c>
      <c r="I50" s="834">
        <f>18.31%+I43+I44+I45</f>
        <v>0.219</v>
      </c>
      <c r="J50" s="834">
        <f>21.33%+J43+J44+J45</f>
        <v>0.2492</v>
      </c>
      <c r="K50" s="834">
        <f>21.33%+K43+K44+K45</f>
        <v>0.2495</v>
      </c>
      <c r="L50" s="834">
        <f>23.6%+L43+L44+L45</f>
        <v>0.27240000000000003</v>
      </c>
      <c r="M50" s="937">
        <f>23.6%+M43+M44+M45</f>
        <v>0.27430000000000004</v>
      </c>
      <c r="N50" s="837">
        <f>23.49%+N43+N44+N45</f>
        <v>0.27324950000000003</v>
      </c>
    </row>
    <row r="51" spans="2:14" ht="16.5" customHeight="1" x14ac:dyDescent="0.35">
      <c r="B51" s="567"/>
      <c r="C51" s="570"/>
      <c r="D51" s="570"/>
      <c r="E51" s="570"/>
      <c r="F51" s="570"/>
      <c r="G51" s="570"/>
      <c r="H51" s="570"/>
      <c r="I51" s="570"/>
      <c r="J51" s="570"/>
      <c r="K51" s="570"/>
      <c r="L51" s="570"/>
      <c r="M51" s="570"/>
      <c r="N51" s="834"/>
    </row>
    <row r="52" spans="2:14" ht="15.6" x14ac:dyDescent="0.35">
      <c r="B52" s="569"/>
      <c r="C52" s="570"/>
      <c r="D52" s="570"/>
      <c r="E52" s="570"/>
      <c r="F52" s="570"/>
      <c r="G52" s="570"/>
      <c r="H52" s="570"/>
      <c r="I52" s="570"/>
      <c r="J52" s="570"/>
      <c r="K52" s="570"/>
      <c r="L52" s="570"/>
      <c r="M52" s="570"/>
      <c r="N52" s="570"/>
    </row>
    <row r="53" spans="2:14" ht="29.25" customHeight="1" x14ac:dyDescent="0.35">
      <c r="B53" s="1062"/>
      <c r="C53" s="1061"/>
      <c r="D53" s="1061"/>
      <c r="E53" s="1061"/>
      <c r="F53" s="1061"/>
      <c r="G53" s="1061"/>
      <c r="H53" s="1061"/>
      <c r="I53" s="1061"/>
      <c r="J53" s="1061"/>
      <c r="K53" s="1061"/>
      <c r="L53" s="1061"/>
      <c r="M53" s="1061"/>
      <c r="N53" s="1061"/>
    </row>
    <row r="54" spans="2:14" ht="156" customHeight="1" x14ac:dyDescent="0.35">
      <c r="B54" s="1060"/>
      <c r="C54" s="1061"/>
      <c r="D54" s="1061"/>
      <c r="E54" s="1061"/>
      <c r="F54" s="1061"/>
      <c r="G54" s="1061"/>
      <c r="H54" s="1061"/>
      <c r="I54" s="1061"/>
      <c r="J54" s="1061"/>
      <c r="K54" s="1061"/>
      <c r="L54" s="1061"/>
      <c r="M54" s="1061"/>
      <c r="N54" s="1061"/>
    </row>
    <row r="55" spans="2:14" ht="12.75" customHeight="1" x14ac:dyDescent="0.35">
      <c r="B55" s="1060"/>
      <c r="C55" s="1061"/>
      <c r="D55" s="1061"/>
      <c r="E55" s="1061"/>
      <c r="F55" s="1061"/>
      <c r="G55" s="1061"/>
      <c r="H55" s="1061"/>
      <c r="I55" s="1061"/>
      <c r="J55" s="1061"/>
      <c r="K55" s="1061"/>
      <c r="L55" s="1061"/>
      <c r="M55" s="1061"/>
      <c r="N55" s="1061"/>
    </row>
  </sheetData>
  <mergeCells count="4">
    <mergeCell ref="B5:N5"/>
    <mergeCell ref="B54:N54"/>
    <mergeCell ref="B53:N53"/>
    <mergeCell ref="B55:N55"/>
  </mergeCells>
  <hyperlinks>
    <hyperlink ref="N2" location="'Cover '!A1" display="Back to Cover" xr:uid="{00000000-0004-0000-0700-000000000000}"/>
  </hyperlinks>
  <printOptions horizontalCentered="1" verticalCentered="1"/>
  <pageMargins left="0.23622047244094491" right="0.23622047244094491" top="0.74803149606299213" bottom="0.74803149606299213" header="0.31496062992125984" footer="0.31496062992125984"/>
  <pageSetup paperSize="8" scale="66" orientation="landscape"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C7C2E4-E2A0-4004-A88C-77AC368834FD}">
  <sheetPr codeName="Foglio14">
    <pageSetUpPr fitToPage="1"/>
  </sheetPr>
  <dimension ref="A1:I43"/>
  <sheetViews>
    <sheetView showGridLines="0" view="pageBreakPreview" zoomScale="85" zoomScaleNormal="85" zoomScaleSheetLayoutView="85" workbookViewId="0">
      <selection activeCell="B5" sqref="B5:C5"/>
    </sheetView>
  </sheetViews>
  <sheetFormatPr defaultColWidth="9.109375" defaultRowHeight="15" customHeight="1" x14ac:dyDescent="0.2"/>
  <cols>
    <col min="1" max="1" width="2.44140625" style="20" customWidth="1"/>
    <col min="2" max="2" width="59.33203125" style="20" customWidth="1"/>
    <col min="3" max="3" width="40.33203125" style="22" customWidth="1"/>
    <col min="4" max="4" width="8.33203125" style="20" customWidth="1"/>
    <col min="5" max="16384" width="9.109375" style="20"/>
  </cols>
  <sheetData>
    <row r="1" spans="1:8" s="23" customFormat="1" ht="15.75" customHeight="1" x14ac:dyDescent="0.4">
      <c r="B1" s="497"/>
      <c r="C1" s="497"/>
    </row>
    <row r="2" spans="1:8" s="23" customFormat="1" ht="15.75" customHeight="1" x14ac:dyDescent="0.4">
      <c r="B2" s="497"/>
      <c r="C2" s="498" t="s">
        <v>18</v>
      </c>
    </row>
    <row r="3" spans="1:8" s="23" customFormat="1" ht="15.75" customHeight="1" x14ac:dyDescent="0.4">
      <c r="B3" s="497"/>
      <c r="C3" s="497"/>
    </row>
    <row r="4" spans="1:8" s="24" customFormat="1" ht="15.75" customHeight="1" x14ac:dyDescent="0.35">
      <c r="B4" s="499"/>
      <c r="C4" s="499"/>
    </row>
    <row r="5" spans="1:8" ht="27.6" x14ac:dyDescent="0.2">
      <c r="A5" s="16"/>
      <c r="B5" s="1044" t="s">
        <v>621</v>
      </c>
      <c r="C5" s="1044"/>
    </row>
    <row r="6" spans="1:8" ht="9" customHeight="1" x14ac:dyDescent="0.2">
      <c r="A6" s="16"/>
      <c r="B6" s="119"/>
      <c r="C6" s="119"/>
    </row>
    <row r="7" spans="1:8" ht="11.25" customHeight="1" x14ac:dyDescent="0.2">
      <c r="A7" s="18"/>
      <c r="B7" s="454"/>
      <c r="C7" s="454"/>
    </row>
    <row r="8" spans="1:8" s="23" customFormat="1" ht="11.25" customHeight="1" x14ac:dyDescent="0.4">
      <c r="B8" s="497"/>
      <c r="C8" s="500"/>
    </row>
    <row r="9" spans="1:8" s="23" customFormat="1" ht="34.5" customHeight="1" x14ac:dyDescent="0.3">
      <c r="B9" s="1036" t="s">
        <v>0</v>
      </c>
      <c r="C9" s="968">
        <v>2025</v>
      </c>
      <c r="H9" s="64"/>
    </row>
    <row r="10" spans="1:8" s="23" customFormat="1" ht="32.25" customHeight="1" x14ac:dyDescent="0.3">
      <c r="B10" s="728" t="s">
        <v>622</v>
      </c>
      <c r="C10" s="967"/>
      <c r="H10" s="64"/>
    </row>
    <row r="11" spans="1:8" s="25" customFormat="1" ht="28.5" customHeight="1" x14ac:dyDescent="0.3">
      <c r="B11" s="883" t="s">
        <v>623</v>
      </c>
      <c r="C11" s="843">
        <v>350.0148064</v>
      </c>
      <c r="H11" s="65"/>
    </row>
    <row r="12" spans="1:8" s="25" customFormat="1" ht="28.5" customHeight="1" x14ac:dyDescent="0.3">
      <c r="B12" s="962" t="s">
        <v>625</v>
      </c>
      <c r="C12" s="1011">
        <v>67.53828177000004</v>
      </c>
      <c r="H12" s="65"/>
    </row>
    <row r="13" spans="1:8" s="25" customFormat="1" ht="28.5" customHeight="1" x14ac:dyDescent="0.3">
      <c r="B13" s="963" t="s">
        <v>638</v>
      </c>
      <c r="C13" s="849">
        <v>252.6006519</v>
      </c>
      <c r="H13" s="65"/>
    </row>
    <row r="14" spans="1:8" s="25" customFormat="1" ht="28.5" customHeight="1" x14ac:dyDescent="0.3">
      <c r="B14" s="964" t="s">
        <v>624</v>
      </c>
      <c r="C14" s="976">
        <v>164.46274297000002</v>
      </c>
      <c r="H14" s="65"/>
    </row>
    <row r="15" spans="1:8" s="25" customFormat="1" ht="28.5" customHeight="1" x14ac:dyDescent="0.3">
      <c r="B15" s="971" t="s">
        <v>74</v>
      </c>
      <c r="C15" s="977">
        <f>SUM(C11:C14)</f>
        <v>834.61648304000005</v>
      </c>
      <c r="H15" s="65"/>
    </row>
    <row r="16" spans="1:8" s="25" customFormat="1" ht="20.25" customHeight="1" x14ac:dyDescent="0.35">
      <c r="B16" s="969"/>
      <c r="C16" s="970"/>
      <c r="H16" s="65"/>
    </row>
    <row r="17" spans="2:9" s="25" customFormat="1" ht="33" customHeight="1" x14ac:dyDescent="0.3">
      <c r="B17" s="728" t="s">
        <v>626</v>
      </c>
      <c r="C17" s="730"/>
      <c r="H17" s="65"/>
    </row>
    <row r="18" spans="2:9" s="25" customFormat="1" ht="28.5" customHeight="1" x14ac:dyDescent="0.3">
      <c r="B18" s="883" t="s">
        <v>687</v>
      </c>
      <c r="C18" s="843">
        <v>335.35919858390258</v>
      </c>
      <c r="H18" s="65"/>
    </row>
    <row r="19" spans="2:9" s="25" customFormat="1" ht="28.5" customHeight="1" x14ac:dyDescent="0.3">
      <c r="B19" s="962" t="s">
        <v>688</v>
      </c>
      <c r="C19" s="1011">
        <v>266.35587249082033</v>
      </c>
      <c r="H19" s="65"/>
    </row>
    <row r="20" spans="2:9" s="25" customFormat="1" ht="28.5" customHeight="1" x14ac:dyDescent="0.3">
      <c r="B20" s="963" t="s">
        <v>689</v>
      </c>
      <c r="C20" s="849">
        <v>89.40869072507698</v>
      </c>
      <c r="H20" s="65"/>
    </row>
    <row r="21" spans="2:9" s="25" customFormat="1" ht="28.5" customHeight="1" x14ac:dyDescent="0.3">
      <c r="B21" s="964" t="s">
        <v>69</v>
      </c>
      <c r="C21" s="1011">
        <v>143.49272124020004</v>
      </c>
      <c r="H21" s="65"/>
    </row>
    <row r="22" spans="2:9" s="25" customFormat="1" ht="28.5" customHeight="1" x14ac:dyDescent="0.3">
      <c r="B22" s="971" t="s">
        <v>74</v>
      </c>
      <c r="C22" s="977">
        <f>SUM(C18:C21)</f>
        <v>834.61648303999993</v>
      </c>
      <c r="H22" s="65"/>
    </row>
    <row r="23" spans="2:9" s="25" customFormat="1" ht="20.25" customHeight="1" x14ac:dyDescent="0.3">
      <c r="B23" s="965"/>
      <c r="C23" s="695"/>
      <c r="H23" s="65"/>
    </row>
    <row r="24" spans="2:9" s="25" customFormat="1" ht="33" customHeight="1" x14ac:dyDescent="0.3">
      <c r="B24" s="728" t="s">
        <v>627</v>
      </c>
      <c r="C24" s="1012" t="s">
        <v>690</v>
      </c>
      <c r="H24" s="65"/>
    </row>
    <row r="25" spans="2:9" s="25" customFormat="1" ht="28.5" customHeight="1" x14ac:dyDescent="0.3">
      <c r="B25" s="883" t="s">
        <v>628</v>
      </c>
      <c r="C25" s="843">
        <v>334.16100799999998</v>
      </c>
      <c r="H25" s="65"/>
    </row>
    <row r="26" spans="2:9" s="25" customFormat="1" ht="28.5" customHeight="1" x14ac:dyDescent="0.3">
      <c r="B26" s="883" t="s">
        <v>629</v>
      </c>
      <c r="C26" s="843">
        <v>3135.9466889999999</v>
      </c>
      <c r="H26" s="65"/>
    </row>
    <row r="27" spans="2:9" s="25" customFormat="1" ht="28.5" customHeight="1" x14ac:dyDescent="0.3">
      <c r="B27" s="963" t="s">
        <v>630</v>
      </c>
      <c r="C27" s="849">
        <v>2267.153139</v>
      </c>
      <c r="H27" s="65"/>
    </row>
    <row r="28" spans="2:9" s="25" customFormat="1" ht="28.5" customHeight="1" x14ac:dyDescent="0.3">
      <c r="B28" s="973" t="s">
        <v>631</v>
      </c>
      <c r="C28" s="1018">
        <v>993.40279899999996</v>
      </c>
      <c r="H28" s="65"/>
    </row>
    <row r="29" spans="2:9" s="25" customFormat="1" ht="20.25" customHeight="1" x14ac:dyDescent="0.3">
      <c r="B29" s="966"/>
      <c r="C29" s="972"/>
      <c r="H29" s="65"/>
    </row>
    <row r="30" spans="2:9" s="25" customFormat="1" ht="33" customHeight="1" x14ac:dyDescent="0.3">
      <c r="B30" s="728" t="s">
        <v>632</v>
      </c>
      <c r="C30" s="1012" t="s">
        <v>690</v>
      </c>
      <c r="H30" s="65"/>
    </row>
    <row r="31" spans="2:9" s="25" customFormat="1" ht="28.5" customHeight="1" x14ac:dyDescent="0.3">
      <c r="B31" s="883" t="s">
        <v>633</v>
      </c>
      <c r="C31" s="843">
        <v>9.7906370000000003</v>
      </c>
      <c r="H31" s="65"/>
      <c r="I31" s="975"/>
    </row>
    <row r="32" spans="2:9" s="25" customFormat="1" ht="28.5" customHeight="1" x14ac:dyDescent="0.3">
      <c r="B32" s="883" t="s">
        <v>634</v>
      </c>
      <c r="C32" s="849">
        <v>6.833234</v>
      </c>
      <c r="H32" s="65"/>
    </row>
    <row r="33" spans="2:8" s="25" customFormat="1" ht="28.5" customHeight="1" x14ac:dyDescent="0.3">
      <c r="B33" s="973" t="s">
        <v>635</v>
      </c>
      <c r="C33" s="1018">
        <f>C31-C32</f>
        <v>2.9574030000000002</v>
      </c>
      <c r="H33" s="65"/>
    </row>
    <row r="34" spans="2:8" s="25" customFormat="1" ht="20.25" customHeight="1" x14ac:dyDescent="0.3">
      <c r="B34" s="974"/>
      <c r="C34" s="972"/>
      <c r="H34" s="65"/>
    </row>
    <row r="35" spans="2:8" s="25" customFormat="1" ht="33" customHeight="1" x14ac:dyDescent="0.3">
      <c r="B35" s="728" t="s">
        <v>636</v>
      </c>
      <c r="C35" s="730"/>
      <c r="H35" s="65"/>
    </row>
    <row r="36" spans="2:8" s="26" customFormat="1" ht="28.5" customHeight="1" x14ac:dyDescent="0.3">
      <c r="B36" s="1030" t="s">
        <v>637</v>
      </c>
      <c r="C36" s="1031">
        <v>1.77033</v>
      </c>
    </row>
    <row r="37" spans="2:8" s="26" customFormat="1" ht="20.25" customHeight="1" x14ac:dyDescent="0.3">
      <c r="B37" s="1032"/>
      <c r="C37" s="1033"/>
      <c r="D37" s="1029"/>
    </row>
    <row r="38" spans="2:8" s="26" customFormat="1" ht="27" customHeight="1" x14ac:dyDescent="0.35">
      <c r="B38" s="728" t="s">
        <v>699</v>
      </c>
      <c r="C38" s="1012"/>
      <c r="D38" s="596"/>
    </row>
    <row r="39" spans="2:8" s="26" customFormat="1" ht="28.5" customHeight="1" x14ac:dyDescent="0.35">
      <c r="B39" s="883" t="s">
        <v>697</v>
      </c>
      <c r="C39" s="843">
        <v>624</v>
      </c>
      <c r="D39" s="596"/>
    </row>
    <row r="40" spans="2:8" s="19" customFormat="1" ht="28.5" customHeight="1" x14ac:dyDescent="0.25">
      <c r="B40" s="883" t="s">
        <v>700</v>
      </c>
      <c r="C40" s="849">
        <v>388</v>
      </c>
    </row>
    <row r="41" spans="2:8" ht="28.5" customHeight="1" x14ac:dyDescent="0.2">
      <c r="B41" s="888" t="s">
        <v>698</v>
      </c>
      <c r="C41" s="1028">
        <v>236</v>
      </c>
    </row>
    <row r="43" spans="2:8" ht="15" customHeight="1" x14ac:dyDescent="0.2">
      <c r="C43" s="67"/>
    </row>
  </sheetData>
  <mergeCells count="1">
    <mergeCell ref="B5:C5"/>
  </mergeCells>
  <hyperlinks>
    <hyperlink ref="C2" location="'Cover '!A1" display="Back to Cover" xr:uid="{84B456CB-747E-42F8-8D94-56FA6648A7E9}"/>
  </hyperlinks>
  <printOptions horizontalCentered="1" verticalCentered="1"/>
  <pageMargins left="0" right="0" top="0" bottom="0" header="0" footer="0"/>
  <pageSetup paperSize="8" scale="82" orientation="landscape"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F110FE-2D42-40EE-9FE6-B2DD92CA596E}">
  <sheetPr codeName="Foglio9">
    <pageSetUpPr fitToPage="1"/>
  </sheetPr>
  <dimension ref="A1:R32"/>
  <sheetViews>
    <sheetView showGridLines="0" view="pageBreakPreview" zoomScale="85" zoomScaleNormal="85" zoomScaleSheetLayoutView="85" workbookViewId="0">
      <selection activeCell="B5" sqref="B5:M5"/>
    </sheetView>
  </sheetViews>
  <sheetFormatPr defaultColWidth="9.109375" defaultRowHeight="15" customHeight="1" x14ac:dyDescent="0.2"/>
  <cols>
    <col min="1" max="1" width="2.44140625" style="20" customWidth="1"/>
    <col min="2" max="2" width="35.33203125" style="20" customWidth="1"/>
    <col min="3" max="3" width="33.88671875" style="22" customWidth="1"/>
    <col min="4" max="4" width="30.6640625" style="22" customWidth="1"/>
    <col min="5" max="5" width="19.109375" style="22" customWidth="1"/>
    <col min="6" max="6" width="21.88671875" style="98" customWidth="1"/>
    <col min="7" max="7" width="17.44140625" style="98" customWidth="1"/>
    <col min="8" max="8" width="17" style="98" customWidth="1"/>
    <col min="9" max="9" width="15.33203125" style="98" customWidth="1"/>
    <col min="10" max="10" width="16" style="98" customWidth="1"/>
    <col min="11" max="11" width="15.33203125" style="98" customWidth="1"/>
    <col min="12" max="12" width="17.33203125" style="98" customWidth="1"/>
    <col min="13" max="13" width="22.6640625" style="22" customWidth="1"/>
    <col min="14" max="14" width="2.44140625" style="20" customWidth="1"/>
    <col min="15" max="16384" width="9.109375" style="20"/>
  </cols>
  <sheetData>
    <row r="1" spans="1:18" s="23" customFormat="1" ht="15.75" customHeight="1" x14ac:dyDescent="0.4">
      <c r="B1" s="497"/>
      <c r="C1" s="497"/>
      <c r="D1" s="497"/>
      <c r="E1" s="497"/>
      <c r="F1" s="588"/>
      <c r="G1" s="588"/>
      <c r="H1" s="588"/>
      <c r="I1" s="588"/>
      <c r="J1" s="588"/>
      <c r="K1" s="588"/>
      <c r="L1" s="588"/>
      <c r="M1" s="497"/>
    </row>
    <row r="2" spans="1:18" s="23" customFormat="1" ht="15.75" customHeight="1" x14ac:dyDescent="0.4">
      <c r="B2" s="497"/>
      <c r="C2" s="522"/>
      <c r="D2" s="522"/>
      <c r="E2" s="522"/>
      <c r="F2" s="589"/>
      <c r="G2" s="589"/>
      <c r="H2" s="589"/>
      <c r="I2" s="589"/>
      <c r="J2" s="589"/>
      <c r="K2" s="589"/>
      <c r="L2" s="589"/>
      <c r="M2" s="498" t="s">
        <v>18</v>
      </c>
    </row>
    <row r="3" spans="1:18" s="23" customFormat="1" ht="15.75" customHeight="1" x14ac:dyDescent="0.4">
      <c r="B3" s="497"/>
      <c r="C3" s="497"/>
      <c r="D3" s="497"/>
      <c r="E3" s="497"/>
      <c r="F3" s="588"/>
      <c r="G3" s="588"/>
      <c r="H3" s="588"/>
      <c r="I3" s="588"/>
      <c r="J3" s="588"/>
      <c r="K3" s="588"/>
      <c r="L3" s="588"/>
      <c r="M3" s="497"/>
    </row>
    <row r="4" spans="1:18" s="24" customFormat="1" ht="15.75" customHeight="1" x14ac:dyDescent="0.35">
      <c r="B4" s="499"/>
      <c r="C4" s="499"/>
      <c r="D4" s="499"/>
      <c r="E4" s="499"/>
      <c r="F4" s="590"/>
      <c r="G4" s="590"/>
      <c r="H4" s="590"/>
      <c r="I4" s="590"/>
      <c r="J4" s="590"/>
      <c r="K4" s="590"/>
      <c r="L4" s="590"/>
      <c r="M4" s="499"/>
    </row>
    <row r="5" spans="1:18" ht="27.6" x14ac:dyDescent="0.2">
      <c r="A5" s="16"/>
      <c r="B5" s="1044" t="s">
        <v>395</v>
      </c>
      <c r="C5" s="1044"/>
      <c r="D5" s="1044"/>
      <c r="E5" s="1044"/>
      <c r="F5" s="1044"/>
      <c r="G5" s="1044"/>
      <c r="H5" s="1044"/>
      <c r="I5" s="1044"/>
      <c r="J5" s="1044"/>
      <c r="K5" s="1044"/>
      <c r="L5" s="1044"/>
      <c r="M5" s="1044"/>
    </row>
    <row r="6" spans="1:18" ht="9" customHeight="1" x14ac:dyDescent="0.2">
      <c r="A6" s="16"/>
      <c r="B6" s="119"/>
      <c r="C6" s="119"/>
      <c r="D6" s="119"/>
      <c r="E6" s="119"/>
      <c r="F6" s="119"/>
      <c r="G6" s="119"/>
      <c r="H6" s="119"/>
      <c r="I6" s="119"/>
      <c r="J6" s="119"/>
      <c r="K6" s="119"/>
      <c r="L6" s="119"/>
      <c r="M6" s="119"/>
    </row>
    <row r="7" spans="1:18" ht="11.25" customHeight="1" x14ac:dyDescent="0.2">
      <c r="A7" s="18"/>
      <c r="B7" s="454"/>
      <c r="C7" s="454"/>
      <c r="D7" s="454"/>
      <c r="E7" s="454"/>
      <c r="F7" s="454"/>
      <c r="G7" s="454"/>
      <c r="H7" s="454"/>
      <c r="I7" s="454"/>
      <c r="J7" s="454"/>
      <c r="K7" s="454"/>
      <c r="L7" s="454"/>
      <c r="M7" s="454"/>
    </row>
    <row r="8" spans="1:18" s="23" customFormat="1" ht="11.25" customHeight="1" x14ac:dyDescent="0.4">
      <c r="B8" s="497"/>
      <c r="C8" s="500"/>
      <c r="D8" s="500"/>
      <c r="E8" s="500"/>
      <c r="F8" s="500"/>
      <c r="G8" s="500"/>
      <c r="H8" s="500"/>
      <c r="I8" s="500"/>
      <c r="J8" s="500"/>
      <c r="K8" s="500"/>
      <c r="L8" s="500"/>
      <c r="M8" s="500"/>
    </row>
    <row r="9" spans="1:18" s="23" customFormat="1" ht="34.5" customHeight="1" x14ac:dyDescent="0.3">
      <c r="B9" s="591"/>
      <c r="C9" s="592" t="s">
        <v>287</v>
      </c>
      <c r="D9" s="592" t="s">
        <v>471</v>
      </c>
      <c r="E9" s="592" t="s">
        <v>288</v>
      </c>
      <c r="F9" s="592" t="s">
        <v>289</v>
      </c>
      <c r="G9" s="592" t="s">
        <v>290</v>
      </c>
      <c r="H9" s="592" t="s">
        <v>291</v>
      </c>
      <c r="I9" s="592" t="s">
        <v>292</v>
      </c>
      <c r="J9" s="592" t="s">
        <v>293</v>
      </c>
      <c r="K9" s="592" t="s">
        <v>294</v>
      </c>
      <c r="L9" s="592" t="s">
        <v>295</v>
      </c>
      <c r="M9" s="593" t="s">
        <v>296</v>
      </c>
      <c r="R9" s="64"/>
    </row>
    <row r="10" spans="1:18" s="23" customFormat="1" ht="32.25" customHeight="1" x14ac:dyDescent="0.3">
      <c r="B10" s="728" t="s">
        <v>412</v>
      </c>
      <c r="C10" s="726"/>
      <c r="D10" s="726"/>
      <c r="E10" s="726"/>
      <c r="F10" s="726"/>
      <c r="G10" s="726"/>
      <c r="H10" s="726"/>
      <c r="I10" s="726"/>
      <c r="J10" s="726"/>
      <c r="K10" s="726"/>
      <c r="L10" s="726"/>
      <c r="M10" s="727"/>
      <c r="R10" s="64"/>
    </row>
    <row r="11" spans="1:18" s="25" customFormat="1" ht="49.2" customHeight="1" x14ac:dyDescent="0.3">
      <c r="B11" s="731" t="s">
        <v>334</v>
      </c>
      <c r="C11" s="693" t="s">
        <v>297</v>
      </c>
      <c r="D11" s="693" t="s">
        <v>472</v>
      </c>
      <c r="E11" s="693">
        <v>500000000</v>
      </c>
      <c r="F11" s="693" t="s">
        <v>298</v>
      </c>
      <c r="G11" s="693" t="s">
        <v>299</v>
      </c>
      <c r="H11" s="693" t="s">
        <v>300</v>
      </c>
      <c r="I11" s="693" t="s">
        <v>301</v>
      </c>
      <c r="J11" s="694" t="s">
        <v>302</v>
      </c>
      <c r="K11" s="693" t="s">
        <v>303</v>
      </c>
      <c r="L11" s="693" t="s">
        <v>304</v>
      </c>
      <c r="M11" s="695" t="s">
        <v>305</v>
      </c>
      <c r="R11" s="65"/>
    </row>
    <row r="12" spans="1:18" s="25" customFormat="1" ht="49.2" customHeight="1" x14ac:dyDescent="0.3">
      <c r="B12" s="733" t="s">
        <v>335</v>
      </c>
      <c r="C12" s="698" t="s">
        <v>297</v>
      </c>
      <c r="D12" s="693" t="s">
        <v>472</v>
      </c>
      <c r="E12" s="699">
        <v>500000000</v>
      </c>
      <c r="F12" s="698" t="s">
        <v>306</v>
      </c>
      <c r="G12" s="698" t="s">
        <v>307</v>
      </c>
      <c r="H12" s="698" t="s">
        <v>308</v>
      </c>
      <c r="I12" s="698" t="s">
        <v>309</v>
      </c>
      <c r="J12" s="698" t="s">
        <v>310</v>
      </c>
      <c r="K12" s="698" t="s">
        <v>303</v>
      </c>
      <c r="L12" s="698" t="s">
        <v>311</v>
      </c>
      <c r="M12" s="700" t="s">
        <v>305</v>
      </c>
      <c r="R12" s="65"/>
    </row>
    <row r="13" spans="1:18" s="25" customFormat="1" ht="49.2" customHeight="1" x14ac:dyDescent="0.3">
      <c r="B13" s="732" t="s">
        <v>336</v>
      </c>
      <c r="C13" s="696" t="s">
        <v>297</v>
      </c>
      <c r="D13" s="693" t="s">
        <v>523</v>
      </c>
      <c r="E13" s="696">
        <v>500000000</v>
      </c>
      <c r="F13" s="696" t="s">
        <v>312</v>
      </c>
      <c r="G13" s="696" t="s">
        <v>313</v>
      </c>
      <c r="H13" s="696" t="s">
        <v>314</v>
      </c>
      <c r="I13" s="696" t="s">
        <v>315</v>
      </c>
      <c r="J13" s="696" t="s">
        <v>316</v>
      </c>
      <c r="K13" s="696" t="s">
        <v>303</v>
      </c>
      <c r="L13" s="696" t="s">
        <v>317</v>
      </c>
      <c r="M13" s="697" t="s">
        <v>305</v>
      </c>
      <c r="R13" s="65"/>
    </row>
    <row r="14" spans="1:18" s="25" customFormat="1" ht="49.2" customHeight="1" x14ac:dyDescent="0.3">
      <c r="B14" s="734" t="s">
        <v>337</v>
      </c>
      <c r="C14" s="701" t="s">
        <v>297</v>
      </c>
      <c r="D14" s="693" t="s">
        <v>523</v>
      </c>
      <c r="E14" s="701">
        <v>500000000</v>
      </c>
      <c r="F14" s="701" t="s">
        <v>318</v>
      </c>
      <c r="G14" s="701" t="s">
        <v>319</v>
      </c>
      <c r="H14" s="701" t="s">
        <v>320</v>
      </c>
      <c r="I14" s="701" t="s">
        <v>321</v>
      </c>
      <c r="J14" s="701" t="s">
        <v>322</v>
      </c>
      <c r="K14" s="701" t="s">
        <v>303</v>
      </c>
      <c r="L14" s="701" t="s">
        <v>323</v>
      </c>
      <c r="M14" s="702" t="s">
        <v>305</v>
      </c>
      <c r="R14" s="65"/>
    </row>
    <row r="15" spans="1:18" s="25" customFormat="1" ht="49.2" customHeight="1" x14ac:dyDescent="0.3">
      <c r="B15" s="733" t="s">
        <v>390</v>
      </c>
      <c r="C15" s="701" t="s">
        <v>297</v>
      </c>
      <c r="D15" s="693" t="s">
        <v>473</v>
      </c>
      <c r="E15" s="701">
        <v>650000000</v>
      </c>
      <c r="F15" s="708" t="s">
        <v>389</v>
      </c>
      <c r="G15" s="707">
        <v>45490</v>
      </c>
      <c r="H15" s="707">
        <v>46951</v>
      </c>
      <c r="I15" s="708" t="s">
        <v>388</v>
      </c>
      <c r="J15" s="707">
        <v>47316</v>
      </c>
      <c r="K15" s="708" t="s">
        <v>303</v>
      </c>
      <c r="L15" s="701" t="s">
        <v>387</v>
      </c>
      <c r="M15" s="702" t="s">
        <v>305</v>
      </c>
      <c r="R15" s="65"/>
    </row>
    <row r="16" spans="1:18" s="25" customFormat="1" ht="49.2" customHeight="1" x14ac:dyDescent="0.3">
      <c r="B16" s="734" t="s">
        <v>463</v>
      </c>
      <c r="C16" s="701" t="s">
        <v>297</v>
      </c>
      <c r="D16" s="693" t="s">
        <v>473</v>
      </c>
      <c r="E16" s="701">
        <v>500000000</v>
      </c>
      <c r="F16" s="708" t="s">
        <v>464</v>
      </c>
      <c r="G16" s="707">
        <v>45811</v>
      </c>
      <c r="H16" s="707">
        <v>46724</v>
      </c>
      <c r="I16" s="708" t="s">
        <v>465</v>
      </c>
      <c r="J16" s="707">
        <v>47090</v>
      </c>
      <c r="K16" s="708" t="s">
        <v>303</v>
      </c>
      <c r="L16" s="701" t="s">
        <v>466</v>
      </c>
      <c r="M16" s="702" t="s">
        <v>305</v>
      </c>
      <c r="R16" s="65"/>
    </row>
    <row r="17" spans="2:18" s="25" customFormat="1" ht="46.5" customHeight="1" x14ac:dyDescent="0.3">
      <c r="B17" s="734" t="s">
        <v>641</v>
      </c>
      <c r="C17" s="699" t="s">
        <v>297</v>
      </c>
      <c r="D17" s="699" t="s">
        <v>473</v>
      </c>
      <c r="E17" s="699">
        <v>500000000</v>
      </c>
      <c r="F17" s="708" t="s">
        <v>642</v>
      </c>
      <c r="G17" s="703">
        <v>45993</v>
      </c>
      <c r="H17" s="703">
        <v>47819</v>
      </c>
      <c r="I17" s="708" t="s">
        <v>643</v>
      </c>
      <c r="J17" s="703">
        <v>48184</v>
      </c>
      <c r="K17" s="708" t="s">
        <v>303</v>
      </c>
      <c r="L17" s="699" t="s">
        <v>644</v>
      </c>
      <c r="M17" s="709" t="s">
        <v>305</v>
      </c>
      <c r="R17" s="65"/>
    </row>
    <row r="18" spans="2:18" s="25" customFormat="1" ht="20.25" customHeight="1" x14ac:dyDescent="0.35">
      <c r="B18" s="737"/>
      <c r="C18" s="710"/>
      <c r="D18" s="710"/>
      <c r="E18" s="710"/>
      <c r="F18" s="710"/>
      <c r="G18" s="710"/>
      <c r="H18" s="710"/>
      <c r="I18" s="710"/>
      <c r="J18" s="710"/>
      <c r="K18" s="710"/>
      <c r="L18" s="710"/>
      <c r="M18" s="711"/>
      <c r="R18" s="65"/>
    </row>
    <row r="19" spans="2:18" s="25" customFormat="1" ht="33.75" customHeight="1" x14ac:dyDescent="0.3">
      <c r="B19" s="728" t="s">
        <v>411</v>
      </c>
      <c r="C19" s="729"/>
      <c r="D19" s="729"/>
      <c r="E19" s="729"/>
      <c r="F19" s="729"/>
      <c r="G19" s="729"/>
      <c r="H19" s="729"/>
      <c r="I19" s="729"/>
      <c r="J19" s="729"/>
      <c r="K19" s="729"/>
      <c r="L19" s="729"/>
      <c r="M19" s="730"/>
      <c r="R19" s="65"/>
    </row>
    <row r="20" spans="2:18" s="25" customFormat="1" ht="49.2" customHeight="1" x14ac:dyDescent="0.3">
      <c r="B20" s="733" t="s">
        <v>338</v>
      </c>
      <c r="C20" s="696" t="s">
        <v>297</v>
      </c>
      <c r="D20" s="696" t="s">
        <v>645</v>
      </c>
      <c r="E20" s="696">
        <v>500000000</v>
      </c>
      <c r="F20" s="696" t="s">
        <v>306</v>
      </c>
      <c r="G20" s="707">
        <v>45308</v>
      </c>
      <c r="H20" s="707">
        <v>47225</v>
      </c>
      <c r="I20" s="696" t="s">
        <v>324</v>
      </c>
      <c r="J20" s="707">
        <v>414293</v>
      </c>
      <c r="K20" s="696" t="s">
        <v>303</v>
      </c>
      <c r="L20" s="696" t="s">
        <v>325</v>
      </c>
      <c r="M20" s="697" t="s">
        <v>305</v>
      </c>
      <c r="R20" s="65"/>
    </row>
    <row r="21" spans="2:18" s="25" customFormat="1" ht="49.2" customHeight="1" x14ac:dyDescent="0.3">
      <c r="B21" s="735" t="s">
        <v>399</v>
      </c>
      <c r="C21" s="698" t="s">
        <v>297</v>
      </c>
      <c r="D21" s="698" t="s">
        <v>646</v>
      </c>
      <c r="E21" s="699">
        <v>650000000</v>
      </c>
      <c r="F21" s="698" t="s">
        <v>400</v>
      </c>
      <c r="G21" s="703">
        <v>45553</v>
      </c>
      <c r="H21" s="703">
        <v>47744</v>
      </c>
      <c r="I21" s="699" t="s">
        <v>402</v>
      </c>
      <c r="J21" s="703">
        <v>49570</v>
      </c>
      <c r="K21" s="708" t="s">
        <v>303</v>
      </c>
      <c r="L21" s="699" t="s">
        <v>401</v>
      </c>
      <c r="M21" s="700" t="s">
        <v>305</v>
      </c>
      <c r="R21" s="65"/>
    </row>
    <row r="22" spans="2:18" s="25" customFormat="1" ht="18.600000000000001" customHeight="1" x14ac:dyDescent="0.35">
      <c r="B22" s="738"/>
      <c r="C22" s="712"/>
      <c r="D22" s="712"/>
      <c r="E22" s="712"/>
      <c r="F22" s="712"/>
      <c r="G22" s="712"/>
      <c r="H22" s="712"/>
      <c r="I22" s="712"/>
      <c r="J22" s="712"/>
      <c r="K22" s="712"/>
      <c r="L22" s="712"/>
      <c r="M22" s="713"/>
      <c r="R22" s="65"/>
    </row>
    <row r="23" spans="2:18" s="25" customFormat="1" ht="33" customHeight="1" x14ac:dyDescent="0.3">
      <c r="B23" s="728" t="s">
        <v>410</v>
      </c>
      <c r="C23" s="729"/>
      <c r="D23" s="729"/>
      <c r="E23" s="729"/>
      <c r="F23" s="729"/>
      <c r="G23" s="729"/>
      <c r="H23" s="729"/>
      <c r="I23" s="729"/>
      <c r="J23" s="729"/>
      <c r="K23" s="729"/>
      <c r="L23" s="729"/>
      <c r="M23" s="730"/>
      <c r="R23" s="65"/>
    </row>
    <row r="24" spans="2:18" s="25" customFormat="1" ht="48.75" customHeight="1" x14ac:dyDescent="0.3">
      <c r="B24" s="735" t="s">
        <v>503</v>
      </c>
      <c r="C24" s="696" t="s">
        <v>297</v>
      </c>
      <c r="D24" s="696" t="s">
        <v>640</v>
      </c>
      <c r="E24" s="696">
        <v>600000000</v>
      </c>
      <c r="F24" s="696" t="s">
        <v>326</v>
      </c>
      <c r="G24" s="707" t="s">
        <v>327</v>
      </c>
      <c r="H24" s="707" t="s">
        <v>328</v>
      </c>
      <c r="I24" s="696" t="s">
        <v>329</v>
      </c>
      <c r="J24" s="707" t="s">
        <v>330</v>
      </c>
      <c r="K24" s="696" t="s">
        <v>331</v>
      </c>
      <c r="L24" s="696" t="s">
        <v>332</v>
      </c>
      <c r="M24" s="697" t="s">
        <v>333</v>
      </c>
      <c r="R24" s="65"/>
    </row>
    <row r="25" spans="2:18" s="25" customFormat="1" ht="48.75" customHeight="1" x14ac:dyDescent="0.3">
      <c r="B25" s="733" t="s">
        <v>458</v>
      </c>
      <c r="C25" s="696" t="s">
        <v>297</v>
      </c>
      <c r="D25" s="696" t="s">
        <v>474</v>
      </c>
      <c r="E25" s="696">
        <v>400000000</v>
      </c>
      <c r="F25" s="696" t="s">
        <v>459</v>
      </c>
      <c r="G25" s="707">
        <v>45838</v>
      </c>
      <c r="H25" s="707">
        <v>47847</v>
      </c>
      <c r="I25" s="696" t="s">
        <v>460</v>
      </c>
      <c r="J25" s="707" t="s">
        <v>330</v>
      </c>
      <c r="K25" s="696" t="s">
        <v>461</v>
      </c>
      <c r="L25" s="696" t="s">
        <v>462</v>
      </c>
      <c r="M25" s="697" t="s">
        <v>333</v>
      </c>
      <c r="R25" s="65"/>
    </row>
    <row r="26" spans="2:18" s="25" customFormat="1" ht="49.5" customHeight="1" x14ac:dyDescent="0.3">
      <c r="B26" s="736" t="s">
        <v>498</v>
      </c>
      <c r="C26" s="704" t="s">
        <v>297</v>
      </c>
      <c r="D26" s="704" t="s">
        <v>474</v>
      </c>
      <c r="E26" s="704">
        <v>600000000</v>
      </c>
      <c r="F26" s="704" t="s">
        <v>499</v>
      </c>
      <c r="G26" s="818">
        <v>45945</v>
      </c>
      <c r="H26" s="818">
        <v>48502</v>
      </c>
      <c r="I26" s="704" t="s">
        <v>500</v>
      </c>
      <c r="J26" s="705" t="s">
        <v>330</v>
      </c>
      <c r="K26" s="705" t="s">
        <v>461</v>
      </c>
      <c r="L26" s="705" t="s">
        <v>501</v>
      </c>
      <c r="M26" s="706" t="s">
        <v>333</v>
      </c>
      <c r="R26" s="65"/>
    </row>
    <row r="27" spans="2:18" s="26" customFormat="1" ht="11.25" customHeight="1" x14ac:dyDescent="0.4">
      <c r="B27" s="549"/>
      <c r="C27" s="528"/>
      <c r="D27" s="528"/>
      <c r="E27" s="528"/>
      <c r="F27" s="594"/>
      <c r="G27" s="594"/>
      <c r="H27" s="594"/>
      <c r="I27" s="594"/>
      <c r="J27" s="594"/>
      <c r="K27" s="594"/>
      <c r="L27" s="594"/>
      <c r="M27" s="528"/>
    </row>
    <row r="28" spans="2:18" s="26" customFormat="1" ht="16.2" customHeight="1" x14ac:dyDescent="0.35">
      <c r="B28" s="1062" t="s">
        <v>504</v>
      </c>
      <c r="C28" s="1064"/>
      <c r="D28" s="1064"/>
      <c r="E28" s="1064"/>
      <c r="F28" s="1064"/>
      <c r="G28" s="1064"/>
      <c r="H28" s="1064"/>
      <c r="I28" s="1064"/>
      <c r="J28" s="1064"/>
      <c r="K28" s="1064"/>
      <c r="L28" s="1064"/>
      <c r="M28" s="1064"/>
      <c r="N28" s="1064"/>
    </row>
    <row r="29" spans="2:18" s="19" customFormat="1" ht="22.5" customHeight="1" x14ac:dyDescent="0.25">
      <c r="B29" s="1063"/>
      <c r="C29" s="1063"/>
      <c r="D29" s="1063"/>
      <c r="E29" s="1063"/>
      <c r="F29" s="1063"/>
      <c r="G29" s="1063"/>
      <c r="H29" s="1063"/>
      <c r="I29" s="1063"/>
      <c r="J29" s="1063"/>
      <c r="K29" s="1063"/>
      <c r="L29" s="1063"/>
      <c r="M29" s="1063"/>
    </row>
    <row r="32" spans="2:18" ht="15" customHeight="1" x14ac:dyDescent="0.2">
      <c r="C32" s="67"/>
      <c r="D32" s="67"/>
      <c r="E32" s="67"/>
      <c r="F32" s="97"/>
      <c r="G32" s="97"/>
      <c r="H32" s="97"/>
      <c r="I32" s="97"/>
      <c r="J32" s="97"/>
      <c r="K32" s="97"/>
      <c r="L32" s="97"/>
      <c r="M32" s="67"/>
    </row>
  </sheetData>
  <mergeCells count="3">
    <mergeCell ref="B5:M5"/>
    <mergeCell ref="B29:M29"/>
    <mergeCell ref="B28:N28"/>
  </mergeCells>
  <phoneticPr fontId="24" type="noConversion"/>
  <hyperlinks>
    <hyperlink ref="M2" location="'Cover '!A1" display="Back to Cover" xr:uid="{6A785561-1ABB-450D-922C-2DE3064F5E6A}"/>
  </hyperlinks>
  <printOptions horizontalCentered="1" verticalCentered="1"/>
  <pageMargins left="0" right="0" top="0" bottom="0" header="0" footer="0"/>
  <pageSetup paperSize="8" scale="77" orientation="landscape" r:id="rId1"/>
  <headerFooter alignWithMargins="0"/>
  <ignoredErrors>
    <ignoredError sqref="G11:L11 J26 G12:M13 G14:H14 J14 G22:M22 G24:H24 M26" twoDigitTextYear="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9DACEC-FD43-4FEF-92A4-C86FA3CD7EF4}">
  <sheetPr codeName="Sheet4">
    <pageSetUpPr fitToPage="1"/>
  </sheetPr>
  <dimension ref="A1:V72"/>
  <sheetViews>
    <sheetView showGridLines="0" view="pageBreakPreview" zoomScale="85" zoomScaleNormal="90" zoomScaleSheetLayoutView="85" workbookViewId="0">
      <pane xSplit="2" ySplit="9" topLeftCell="C10" activePane="bottomRight" state="frozen"/>
      <selection pane="topRight" activeCell="C1" sqref="C1"/>
      <selection pane="bottomLeft" activeCell="A10" sqref="A10"/>
      <selection pane="bottomRight" activeCell="B5" sqref="B5:P5"/>
    </sheetView>
  </sheetViews>
  <sheetFormatPr defaultColWidth="9.109375" defaultRowHeight="15" x14ac:dyDescent="0.25"/>
  <cols>
    <col min="1" max="1" width="2.44140625" style="113" customWidth="1"/>
    <col min="2" max="2" width="77" style="113" customWidth="1"/>
    <col min="3" max="16" width="17.44140625" style="113" customWidth="1"/>
    <col min="17" max="17" width="2.44140625" style="113" customWidth="1"/>
    <col min="18" max="18" width="9.109375" style="113"/>
    <col min="19" max="19" width="22.5546875" style="113" customWidth="1"/>
    <col min="20" max="20" width="10.33203125" style="113" customWidth="1"/>
    <col min="21" max="16384" width="9.109375" style="113"/>
  </cols>
  <sheetData>
    <row r="1" spans="1:21" s="112" customFormat="1" ht="15.75" customHeight="1" x14ac:dyDescent="0.25">
      <c r="B1" s="113"/>
      <c r="C1" s="113"/>
      <c r="D1" s="113"/>
      <c r="E1" s="113"/>
      <c r="F1" s="113"/>
      <c r="G1" s="113"/>
      <c r="H1" s="113"/>
      <c r="I1" s="113"/>
      <c r="J1" s="113"/>
      <c r="K1" s="113"/>
      <c r="L1" s="113"/>
      <c r="M1" s="113"/>
      <c r="N1" s="113"/>
      <c r="O1" s="113"/>
      <c r="P1" s="113"/>
    </row>
    <row r="2" spans="1:21" s="112" customFormat="1" ht="15.75" customHeight="1" x14ac:dyDescent="0.25">
      <c r="B2" s="113"/>
      <c r="P2" s="114" t="s">
        <v>18</v>
      </c>
    </row>
    <row r="3" spans="1:21" s="112" customFormat="1" ht="15.75" customHeight="1" x14ac:dyDescent="0.25">
      <c r="B3" s="113"/>
      <c r="C3" s="115"/>
      <c r="P3" s="114"/>
    </row>
    <row r="4" spans="1:21" ht="15.75" customHeight="1" x14ac:dyDescent="0.25">
      <c r="P4" s="116"/>
    </row>
    <row r="5" spans="1:21" s="118" customFormat="1" ht="27.6" x14ac:dyDescent="0.25">
      <c r="A5" s="117"/>
      <c r="B5" s="1044" t="s">
        <v>107</v>
      </c>
      <c r="C5" s="1044"/>
      <c r="D5" s="1044"/>
      <c r="E5" s="1044"/>
      <c r="F5" s="1044"/>
      <c r="G5" s="1044"/>
      <c r="H5" s="1044"/>
      <c r="I5" s="1044"/>
      <c r="J5" s="1044"/>
      <c r="K5" s="1044"/>
      <c r="L5" s="1044"/>
      <c r="M5" s="1044"/>
      <c r="N5" s="1044"/>
      <c r="O5" s="1044"/>
      <c r="P5" s="1044"/>
    </row>
    <row r="6" spans="1:21" s="118" customFormat="1" ht="9" customHeight="1" x14ac:dyDescent="0.25">
      <c r="A6" s="117"/>
      <c r="B6" s="119"/>
      <c r="C6" s="119"/>
      <c r="D6" s="119"/>
      <c r="E6" s="119"/>
      <c r="F6" s="119"/>
      <c r="G6" s="119"/>
      <c r="H6" s="119"/>
      <c r="I6" s="119"/>
      <c r="J6" s="119"/>
      <c r="K6" s="119"/>
      <c r="L6" s="119"/>
      <c r="M6" s="119"/>
      <c r="N6" s="119"/>
      <c r="O6" s="119"/>
      <c r="P6" s="119"/>
    </row>
    <row r="7" spans="1:21" s="112" customFormat="1" ht="9" customHeight="1" x14ac:dyDescent="0.25">
      <c r="B7" s="113"/>
      <c r="C7" s="120"/>
      <c r="D7" s="120"/>
      <c r="E7" s="120"/>
      <c r="F7" s="120"/>
      <c r="G7" s="120"/>
      <c r="H7" s="120"/>
      <c r="I7" s="120"/>
      <c r="J7" s="120"/>
      <c r="K7" s="120"/>
      <c r="L7" s="120"/>
      <c r="M7" s="120"/>
      <c r="N7" s="120"/>
      <c r="O7" s="120"/>
      <c r="P7" s="120"/>
    </row>
    <row r="8" spans="1:21" s="112" customFormat="1" ht="16.5" customHeight="1" x14ac:dyDescent="0.25">
      <c r="B8" s="140" t="s">
        <v>0</v>
      </c>
      <c r="C8" s="120"/>
      <c r="D8" s="120"/>
      <c r="E8" s="120"/>
      <c r="F8" s="120"/>
      <c r="G8" s="120"/>
      <c r="H8" s="120"/>
      <c r="I8" s="120"/>
      <c r="J8" s="120"/>
      <c r="K8" s="120"/>
      <c r="L8" s="120"/>
      <c r="M8" s="120"/>
      <c r="N8" s="120"/>
      <c r="O8" s="120"/>
      <c r="P8" s="120"/>
    </row>
    <row r="9" spans="1:21" s="112" customFormat="1" ht="24" customHeight="1" x14ac:dyDescent="0.25">
      <c r="B9" s="141" t="s">
        <v>105</v>
      </c>
      <c r="C9" s="142" t="s">
        <v>154</v>
      </c>
      <c r="D9" s="142" t="s">
        <v>157</v>
      </c>
      <c r="E9" s="142" t="s">
        <v>165</v>
      </c>
      <c r="F9" s="142" t="s">
        <v>268</v>
      </c>
      <c r="G9" s="142" t="s">
        <v>274</v>
      </c>
      <c r="H9" s="142" t="s">
        <v>360</v>
      </c>
      <c r="I9" s="142" t="s">
        <v>397</v>
      </c>
      <c r="J9" s="142" t="s">
        <v>416</v>
      </c>
      <c r="K9" s="142" t="s">
        <v>446</v>
      </c>
      <c r="L9" s="142" t="s">
        <v>455</v>
      </c>
      <c r="M9" s="181" t="s">
        <v>496</v>
      </c>
      <c r="N9" s="775" t="s">
        <v>559</v>
      </c>
      <c r="O9" s="775" t="s">
        <v>570</v>
      </c>
      <c r="P9" s="180" t="s">
        <v>571</v>
      </c>
    </row>
    <row r="10" spans="1:21" s="121" customFormat="1" ht="24" customHeight="1" x14ac:dyDescent="0.25">
      <c r="B10" s="143" t="s">
        <v>1</v>
      </c>
      <c r="C10" s="144">
        <v>446.86599999999999</v>
      </c>
      <c r="D10" s="144">
        <v>487.8</v>
      </c>
      <c r="E10" s="145">
        <v>531.351</v>
      </c>
      <c r="F10" s="144">
        <v>536.64499999999998</v>
      </c>
      <c r="G10" s="144">
        <v>517.62899999999991</v>
      </c>
      <c r="H10" s="145">
        <v>527.55799999999999</v>
      </c>
      <c r="I10" s="145">
        <v>529.50533123000014</v>
      </c>
      <c r="J10" s="145">
        <v>513.51499999999999</v>
      </c>
      <c r="K10" s="145">
        <v>480.952</v>
      </c>
      <c r="L10" s="145">
        <v>473.56599999999997</v>
      </c>
      <c r="M10" s="900">
        <v>471.23099999999999</v>
      </c>
      <c r="N10" s="776">
        <v>476.851</v>
      </c>
      <c r="O10" s="784">
        <v>2088.2073312299999</v>
      </c>
      <c r="P10" s="202">
        <v>1902.6</v>
      </c>
      <c r="S10" s="122"/>
    </row>
    <row r="11" spans="1:21" s="121" customFormat="1" ht="24" customHeight="1" x14ac:dyDescent="0.25">
      <c r="B11" s="143" t="s">
        <v>705</v>
      </c>
      <c r="C11" s="144">
        <v>121.64700000000001</v>
      </c>
      <c r="D11" s="144">
        <v>141.40600000000001</v>
      </c>
      <c r="E11" s="145">
        <v>139.97699999999998</v>
      </c>
      <c r="F11" s="144">
        <v>143.60599999999999</v>
      </c>
      <c r="G11" s="144">
        <v>145.32</v>
      </c>
      <c r="H11" s="145">
        <v>179.239</v>
      </c>
      <c r="I11" s="145">
        <v>155.89676098999999</v>
      </c>
      <c r="J11" s="145">
        <v>167.35399999999998</v>
      </c>
      <c r="K11" s="145">
        <v>159.72299999999998</v>
      </c>
      <c r="L11" s="145">
        <v>165.53200000000001</v>
      </c>
      <c r="M11" s="900">
        <v>163.86399999999998</v>
      </c>
      <c r="N11" s="776">
        <v>206.49499399999999</v>
      </c>
      <c r="O11" s="784">
        <v>647.80976098999997</v>
      </c>
      <c r="P11" s="202">
        <v>695.61399399999993</v>
      </c>
      <c r="R11" s="771"/>
      <c r="S11" s="771"/>
    </row>
    <row r="12" spans="1:21" s="121" customFormat="1" ht="24" customHeight="1" x14ac:dyDescent="0.25">
      <c r="B12" s="143" t="s">
        <v>672</v>
      </c>
      <c r="C12" s="144">
        <v>0</v>
      </c>
      <c r="D12" s="144">
        <v>0</v>
      </c>
      <c r="E12" s="145">
        <v>0</v>
      </c>
      <c r="F12" s="144">
        <v>0</v>
      </c>
      <c r="G12" s="144">
        <v>0</v>
      </c>
      <c r="H12" s="145">
        <v>11.949892</v>
      </c>
      <c r="I12" s="145">
        <v>0</v>
      </c>
      <c r="J12" s="145">
        <v>0</v>
      </c>
      <c r="K12" s="145">
        <v>0</v>
      </c>
      <c r="L12" s="145">
        <v>0</v>
      </c>
      <c r="M12" s="900">
        <v>0</v>
      </c>
      <c r="N12" s="776">
        <v>0</v>
      </c>
      <c r="O12" s="784">
        <v>11.949892</v>
      </c>
      <c r="P12" s="202">
        <v>0</v>
      </c>
      <c r="S12" s="122"/>
    </row>
    <row r="13" spans="1:21" s="121" customFormat="1" ht="24" customHeight="1" x14ac:dyDescent="0.25">
      <c r="B13" s="143" t="s">
        <v>706</v>
      </c>
      <c r="C13" s="144">
        <v>9.7540000000000013</v>
      </c>
      <c r="D13" s="144">
        <v>29.241999999999997</v>
      </c>
      <c r="E13" s="145">
        <v>-7.8949999999999996</v>
      </c>
      <c r="F13" s="144">
        <v>31.995000000000001</v>
      </c>
      <c r="G13" s="144">
        <v>-4.4270000000000005</v>
      </c>
      <c r="H13" s="145">
        <v>7.47</v>
      </c>
      <c r="I13" s="145">
        <v>33.253386879999915</v>
      </c>
      <c r="J13" s="145">
        <v>28.351999999999997</v>
      </c>
      <c r="K13" s="145">
        <v>18.872999999999998</v>
      </c>
      <c r="L13" s="145">
        <v>47.170999999999999</v>
      </c>
      <c r="M13" s="900">
        <v>18.641000000000002</v>
      </c>
      <c r="N13" s="776">
        <v>34.754941228987974</v>
      </c>
      <c r="O13" s="784">
        <v>64.648386879999919</v>
      </c>
      <c r="P13" s="202">
        <v>119.43994122898798</v>
      </c>
      <c r="R13" s="122"/>
      <c r="S13" s="122"/>
      <c r="U13" s="771"/>
    </row>
    <row r="14" spans="1:21" s="121" customFormat="1" ht="24" customHeight="1" x14ac:dyDescent="0.25">
      <c r="B14" s="143" t="s">
        <v>256</v>
      </c>
      <c r="C14" s="144">
        <v>-1.48</v>
      </c>
      <c r="D14" s="144">
        <v>3.5300000000000002</v>
      </c>
      <c r="E14" s="145">
        <v>-10.244999999999999</v>
      </c>
      <c r="F14" s="144">
        <v>9.7259999999999991</v>
      </c>
      <c r="G14" s="144">
        <v>-66.650999999999996</v>
      </c>
      <c r="H14" s="145">
        <v>11.755000000000001</v>
      </c>
      <c r="I14" s="145">
        <v>-9.9486770399999891</v>
      </c>
      <c r="J14" s="145">
        <v>20.843</v>
      </c>
      <c r="K14" s="145">
        <v>-10.088000000000001</v>
      </c>
      <c r="L14" s="145">
        <v>0.70700000000000007</v>
      </c>
      <c r="M14" s="900">
        <v>-5.3029999999999999</v>
      </c>
      <c r="N14" s="776">
        <v>4.4050060000000002</v>
      </c>
      <c r="O14" s="784">
        <v>-44.001677039999997</v>
      </c>
      <c r="P14" s="202">
        <v>-10.278994000000001</v>
      </c>
      <c r="S14" s="122"/>
    </row>
    <row r="15" spans="1:21" s="121" customFormat="1" ht="24" customHeight="1" x14ac:dyDescent="0.25">
      <c r="B15" s="143" t="s">
        <v>280</v>
      </c>
      <c r="C15" s="144">
        <v>0</v>
      </c>
      <c r="D15" s="144">
        <v>0</v>
      </c>
      <c r="E15" s="145">
        <v>0</v>
      </c>
      <c r="F15" s="144">
        <v>0</v>
      </c>
      <c r="G15" s="144">
        <v>-43.292000000000002</v>
      </c>
      <c r="H15" s="145">
        <v>0</v>
      </c>
      <c r="I15" s="145">
        <v>0</v>
      </c>
      <c r="J15" s="145">
        <v>0</v>
      </c>
      <c r="K15" s="145">
        <v>0</v>
      </c>
      <c r="L15" s="145">
        <v>0</v>
      </c>
      <c r="M15" s="900">
        <v>0</v>
      </c>
      <c r="N15" s="776">
        <v>0</v>
      </c>
      <c r="O15" s="784">
        <v>-43.292000000000002</v>
      </c>
      <c r="P15" s="202">
        <v>0</v>
      </c>
      <c r="S15" s="122"/>
    </row>
    <row r="16" spans="1:21" s="121" customFormat="1" ht="24" customHeight="1" x14ac:dyDescent="0.25">
      <c r="B16" s="149" t="s">
        <v>170</v>
      </c>
      <c r="C16" s="150">
        <f t="shared" ref="C16:P16" si="0">C10+C11+C13+C14</f>
        <v>576.78700000000003</v>
      </c>
      <c r="D16" s="151">
        <f t="shared" si="0"/>
        <v>661.97799999999995</v>
      </c>
      <c r="E16" s="150">
        <f t="shared" si="0"/>
        <v>653.18799999999999</v>
      </c>
      <c r="F16" s="151">
        <f t="shared" si="0"/>
        <v>721.97199999999998</v>
      </c>
      <c r="G16" s="151">
        <f t="shared" si="0"/>
        <v>591.87099999999987</v>
      </c>
      <c r="H16" s="150">
        <f t="shared" si="0"/>
        <v>726.02200000000005</v>
      </c>
      <c r="I16" s="150">
        <f t="shared" si="0"/>
        <v>708.70680205999997</v>
      </c>
      <c r="J16" s="150">
        <f t="shared" si="0"/>
        <v>730.06399999999985</v>
      </c>
      <c r="K16" s="150">
        <f t="shared" si="0"/>
        <v>649.46</v>
      </c>
      <c r="L16" s="150">
        <f t="shared" si="0"/>
        <v>686.976</v>
      </c>
      <c r="M16" s="901">
        <f>M10+M11+M13+M14</f>
        <v>648.43299999999999</v>
      </c>
      <c r="N16" s="777">
        <f>N10+N11+N13+N14</f>
        <v>722.50594122898792</v>
      </c>
      <c r="O16" s="785">
        <f>O10+O11+O13+O14</f>
        <v>2756.6638020600003</v>
      </c>
      <c r="P16" s="203">
        <f t="shared" si="0"/>
        <v>2707.3749412289881</v>
      </c>
      <c r="S16" s="122"/>
      <c r="U16" s="122"/>
    </row>
    <row r="17" spans="2:21" s="121" customFormat="1" ht="24" customHeight="1" x14ac:dyDescent="0.25">
      <c r="B17" s="143" t="s">
        <v>2</v>
      </c>
      <c r="C17" s="144">
        <v>-96.718999999999994</v>
      </c>
      <c r="D17" s="144">
        <v>-96.57</v>
      </c>
      <c r="E17" s="145">
        <v>-80.358000000000004</v>
      </c>
      <c r="F17" s="144">
        <v>-168.495</v>
      </c>
      <c r="G17" s="144">
        <v>-100.86799999999999</v>
      </c>
      <c r="H17" s="145">
        <v>-100.80200000000001</v>
      </c>
      <c r="I17" s="145">
        <v>-101.65485525</v>
      </c>
      <c r="J17" s="145">
        <v>-151.71899999999999</v>
      </c>
      <c r="K17" s="145">
        <v>-99.093000000000004</v>
      </c>
      <c r="L17" s="145">
        <v>-103.46299999999999</v>
      </c>
      <c r="M17" s="900">
        <v>-99.442999999999998</v>
      </c>
      <c r="N17" s="776">
        <v>-140.399</v>
      </c>
      <c r="O17" s="784">
        <v>-455.04385525000004</v>
      </c>
      <c r="P17" s="202">
        <v>-442.39799999999997</v>
      </c>
      <c r="S17" s="122"/>
    </row>
    <row r="18" spans="2:21" s="121" customFormat="1" ht="24" customHeight="1" x14ac:dyDescent="0.25">
      <c r="B18" s="143" t="s">
        <v>171</v>
      </c>
      <c r="C18" s="144">
        <v>-83.156999999999996</v>
      </c>
      <c r="D18" s="144">
        <v>-78.429000000000002</v>
      </c>
      <c r="E18" s="145">
        <v>-89.208000000000013</v>
      </c>
      <c r="F18" s="144">
        <v>-64.234999999999999</v>
      </c>
      <c r="G18" s="144">
        <v>-72.945999999999998</v>
      </c>
      <c r="H18" s="145">
        <v>-73.254999999999995</v>
      </c>
      <c r="I18" s="145">
        <v>-75.398843909999997</v>
      </c>
      <c r="J18" s="145">
        <v>-81.564000000000007</v>
      </c>
      <c r="K18" s="145">
        <v>-93.73</v>
      </c>
      <c r="L18" s="145">
        <v>-76.032000000000011</v>
      </c>
      <c r="M18" s="900">
        <v>-78.41</v>
      </c>
      <c r="N18" s="776">
        <v>-80.694999999999993</v>
      </c>
      <c r="O18" s="784">
        <v>-303.16384391000003</v>
      </c>
      <c r="P18" s="202">
        <v>-328.86699999999996</v>
      </c>
      <c r="S18" s="122"/>
      <c r="T18" s="122"/>
    </row>
    <row r="19" spans="2:21" s="121" customFormat="1" ht="24" customHeight="1" x14ac:dyDescent="0.25">
      <c r="B19" s="143" t="s">
        <v>125</v>
      </c>
      <c r="C19" s="144">
        <v>-26.146999999999998</v>
      </c>
      <c r="D19" s="144">
        <v>-26.212</v>
      </c>
      <c r="E19" s="145">
        <v>-26.484999999999999</v>
      </c>
      <c r="F19" s="144">
        <v>-27.077999999999999</v>
      </c>
      <c r="G19" s="144">
        <v>-28.614999999999998</v>
      </c>
      <c r="H19" s="145">
        <v>-29.193999999999999</v>
      </c>
      <c r="I19" s="145">
        <v>-30.551236739999993</v>
      </c>
      <c r="J19" s="145">
        <v>-30.558</v>
      </c>
      <c r="K19" s="145">
        <v>-31.151</v>
      </c>
      <c r="L19" s="145">
        <v>-32.353000000000002</v>
      </c>
      <c r="M19" s="900">
        <v>-33.377000000000002</v>
      </c>
      <c r="N19" s="776">
        <v>-34.677</v>
      </c>
      <c r="O19" s="784">
        <v>-118.91823674</v>
      </c>
      <c r="P19" s="202">
        <v>-131.55799999999999</v>
      </c>
      <c r="S19" s="122"/>
    </row>
    <row r="20" spans="2:21" s="121" customFormat="1" ht="24" customHeight="1" x14ac:dyDescent="0.25">
      <c r="B20" s="146" t="s">
        <v>120</v>
      </c>
      <c r="C20" s="148">
        <f t="shared" ref="C20:P20" si="1">SUM(C17:C19)</f>
        <v>-206.02299999999997</v>
      </c>
      <c r="D20" s="148">
        <f t="shared" si="1"/>
        <v>-201.21099999999998</v>
      </c>
      <c r="E20" s="147">
        <f t="shared" si="1"/>
        <v>-196.05100000000004</v>
      </c>
      <c r="F20" s="148">
        <f t="shared" si="1"/>
        <v>-259.80799999999999</v>
      </c>
      <c r="G20" s="148">
        <f t="shared" si="1"/>
        <v>-202.429</v>
      </c>
      <c r="H20" s="147">
        <f t="shared" si="1"/>
        <v>-203.251</v>
      </c>
      <c r="I20" s="147">
        <f t="shared" si="1"/>
        <v>-207.60493589999999</v>
      </c>
      <c r="J20" s="147">
        <f t="shared" si="1"/>
        <v>-263.84100000000001</v>
      </c>
      <c r="K20" s="147">
        <f t="shared" si="1"/>
        <v>-223.97400000000002</v>
      </c>
      <c r="L20" s="147">
        <f t="shared" si="1"/>
        <v>-211.84800000000001</v>
      </c>
      <c r="M20" s="902">
        <f t="shared" si="1"/>
        <v>-211.23000000000002</v>
      </c>
      <c r="N20" s="778">
        <f t="shared" si="1"/>
        <v>-255.77099999999999</v>
      </c>
      <c r="O20" s="786">
        <f t="shared" si="1"/>
        <v>-877.12593590000006</v>
      </c>
      <c r="P20" s="204">
        <f t="shared" si="1"/>
        <v>-902.82299999999987</v>
      </c>
      <c r="R20" s="122"/>
      <c r="S20" s="122"/>
    </row>
    <row r="21" spans="2:21" s="121" customFormat="1" ht="24" customHeight="1" x14ac:dyDescent="0.25">
      <c r="B21" s="143" t="s">
        <v>119</v>
      </c>
      <c r="C21" s="144">
        <v>-3.1720000000000002</v>
      </c>
      <c r="D21" s="144">
        <v>-2.1745070000000002</v>
      </c>
      <c r="E21" s="145">
        <v>-1.5662459999999996</v>
      </c>
      <c r="F21" s="144">
        <v>-63.649000000000001</v>
      </c>
      <c r="G21" s="144">
        <v>-9.6033038800000003</v>
      </c>
      <c r="H21" s="145">
        <v>-4.2904095</v>
      </c>
      <c r="I21" s="145">
        <v>-1.837108</v>
      </c>
      <c r="J21" s="145">
        <v>-38.653692239999998</v>
      </c>
      <c r="K21" s="145">
        <v>-2.4</v>
      </c>
      <c r="L21" s="145">
        <v>-3.8</v>
      </c>
      <c r="M21" s="900">
        <v>-4.8</v>
      </c>
      <c r="N21" s="776">
        <v>-21.463821250000002</v>
      </c>
      <c r="O21" s="784">
        <v>-54.38451362</v>
      </c>
      <c r="P21" s="202">
        <v>-32.463821250000002</v>
      </c>
      <c r="S21" s="122"/>
    </row>
    <row r="22" spans="2:21" s="121" customFormat="1" ht="24" customHeight="1" x14ac:dyDescent="0.25">
      <c r="B22" s="149" t="s">
        <v>553</v>
      </c>
      <c r="C22" s="151">
        <f t="shared" ref="C22:P22" si="2">C16+C20</f>
        <v>370.76400000000007</v>
      </c>
      <c r="D22" s="151">
        <f t="shared" si="2"/>
        <v>460.76699999999994</v>
      </c>
      <c r="E22" s="150">
        <f t="shared" si="2"/>
        <v>457.13699999999994</v>
      </c>
      <c r="F22" s="151">
        <f t="shared" si="2"/>
        <v>462.16399999999999</v>
      </c>
      <c r="G22" s="151">
        <f t="shared" si="2"/>
        <v>389.44199999999989</v>
      </c>
      <c r="H22" s="150">
        <f t="shared" si="2"/>
        <v>522.77100000000007</v>
      </c>
      <c r="I22" s="150">
        <f t="shared" si="2"/>
        <v>501.10186615999999</v>
      </c>
      <c r="J22" s="150">
        <f t="shared" si="2"/>
        <v>466.22299999999984</v>
      </c>
      <c r="K22" s="150">
        <f t="shared" si="2"/>
        <v>425.48599999999999</v>
      </c>
      <c r="L22" s="150">
        <f t="shared" si="2"/>
        <v>475.12799999999999</v>
      </c>
      <c r="M22" s="901">
        <f t="shared" si="2"/>
        <v>437.20299999999997</v>
      </c>
      <c r="N22" s="777">
        <f t="shared" si="2"/>
        <v>466.73494122898796</v>
      </c>
      <c r="O22" s="785">
        <f t="shared" si="2"/>
        <v>1879.5378661600002</v>
      </c>
      <c r="P22" s="203">
        <f t="shared" si="2"/>
        <v>1804.5519412289882</v>
      </c>
      <c r="S22" s="122"/>
    </row>
    <row r="23" spans="2:21" s="121" customFormat="1" ht="24" customHeight="1" x14ac:dyDescent="0.25">
      <c r="B23" s="149" t="s">
        <v>375</v>
      </c>
      <c r="C23" s="150">
        <f t="shared" ref="C23:P23" si="3">C22-C15-C21-C12</f>
        <v>373.93600000000009</v>
      </c>
      <c r="D23" s="150">
        <f t="shared" si="3"/>
        <v>462.94150699999994</v>
      </c>
      <c r="E23" s="150">
        <f t="shared" si="3"/>
        <v>458.70324599999992</v>
      </c>
      <c r="F23" s="151">
        <f t="shared" si="3"/>
        <v>525.81299999999999</v>
      </c>
      <c r="G23" s="151">
        <f t="shared" si="3"/>
        <v>442.33730387999992</v>
      </c>
      <c r="H23" s="150">
        <f t="shared" si="3"/>
        <v>515.1115175000001</v>
      </c>
      <c r="I23" s="150">
        <f t="shared" si="3"/>
        <v>502.93897415999999</v>
      </c>
      <c r="J23" s="150">
        <f t="shared" si="3"/>
        <v>504.87669223999984</v>
      </c>
      <c r="K23" s="150">
        <f t="shared" si="3"/>
        <v>427.88599999999997</v>
      </c>
      <c r="L23" s="150">
        <f t="shared" si="3"/>
        <v>478.928</v>
      </c>
      <c r="M23" s="901">
        <f t="shared" si="3"/>
        <v>442.00299999999999</v>
      </c>
      <c r="N23" s="777">
        <f t="shared" si="3"/>
        <v>488.19876247898799</v>
      </c>
      <c r="O23" s="785">
        <f t="shared" si="3"/>
        <v>1965.2644877800001</v>
      </c>
      <c r="P23" s="203">
        <f t="shared" si="3"/>
        <v>1837.0157624789881</v>
      </c>
      <c r="S23" s="122"/>
    </row>
    <row r="24" spans="2:21" s="121" customFormat="1" ht="24" customHeight="1" x14ac:dyDescent="0.25">
      <c r="B24" s="184" t="s">
        <v>121</v>
      </c>
      <c r="C24" s="185">
        <v>-95.394000000000005</v>
      </c>
      <c r="D24" s="185">
        <v>-283.02799999999996</v>
      </c>
      <c r="E24" s="186">
        <v>-75.676999999999992</v>
      </c>
      <c r="F24" s="185">
        <v>-104.504</v>
      </c>
      <c r="G24" s="185">
        <v>-58.474000000000004</v>
      </c>
      <c r="H24" s="186">
        <v>-43.260999999999996</v>
      </c>
      <c r="I24" s="186">
        <v>-51.714784479999999</v>
      </c>
      <c r="J24" s="186">
        <v>-127.18400000000001</v>
      </c>
      <c r="K24" s="186">
        <v>-35.253</v>
      </c>
      <c r="L24" s="186">
        <v>-93.966999999999999</v>
      </c>
      <c r="M24" s="903">
        <v>-67.745000000000005</v>
      </c>
      <c r="N24" s="779">
        <v>-91.804999999999993</v>
      </c>
      <c r="O24" s="787">
        <v>-280.63378448000003</v>
      </c>
      <c r="P24" s="205">
        <v>-288.77</v>
      </c>
      <c r="S24" s="122"/>
    </row>
    <row r="25" spans="2:21" s="121" customFormat="1" ht="24" customHeight="1" x14ac:dyDescent="0.25">
      <c r="B25" s="143" t="s">
        <v>119</v>
      </c>
      <c r="C25" s="144">
        <v>-20.760999999999999</v>
      </c>
      <c r="D25" s="144">
        <v>-180.79911400999998</v>
      </c>
      <c r="E25" s="145">
        <v>0</v>
      </c>
      <c r="F25" s="144">
        <v>-51.51</v>
      </c>
      <c r="G25" s="144">
        <v>-12.14</v>
      </c>
      <c r="H25" s="145">
        <v>0</v>
      </c>
      <c r="I25" s="145">
        <v>0</v>
      </c>
      <c r="J25" s="145">
        <v>-86.33</v>
      </c>
      <c r="K25" s="145">
        <v>-0.44911295000000001</v>
      </c>
      <c r="L25" s="145">
        <v>-24.955732359999999</v>
      </c>
      <c r="M25" s="900">
        <v>-0.52778334999999998</v>
      </c>
      <c r="N25" s="776">
        <v>-37.546928030000004</v>
      </c>
      <c r="O25" s="784">
        <v>-98.47</v>
      </c>
      <c r="P25" s="202">
        <v>-63.479556690000003</v>
      </c>
      <c r="S25" s="122"/>
    </row>
    <row r="26" spans="2:21" s="121" customFormat="1" ht="24" customHeight="1" x14ac:dyDescent="0.25">
      <c r="B26" s="143" t="s">
        <v>144</v>
      </c>
      <c r="C26" s="144">
        <v>-20.998000000000001</v>
      </c>
      <c r="D26" s="144">
        <v>-43.989000000000004</v>
      </c>
      <c r="E26" s="145">
        <v>-2.1039999999999957</v>
      </c>
      <c r="F26" s="144">
        <v>-46.639000000000003</v>
      </c>
      <c r="G26" s="144">
        <v>-6.0240000000000009</v>
      </c>
      <c r="H26" s="145">
        <v>-27.35</v>
      </c>
      <c r="I26" s="145">
        <v>-16.767441019999996</v>
      </c>
      <c r="J26" s="145">
        <v>-112.84299999999999</v>
      </c>
      <c r="K26" s="145">
        <v>-7.7969999999999997</v>
      </c>
      <c r="L26" s="145">
        <v>-10.314</v>
      </c>
      <c r="M26" s="900">
        <v>-18.817999999999998</v>
      </c>
      <c r="N26" s="776">
        <v>-100.608</v>
      </c>
      <c r="O26" s="784">
        <v>-162.98444101999999</v>
      </c>
      <c r="P26" s="202">
        <v>-137.53700000000001</v>
      </c>
      <c r="S26" s="122"/>
    </row>
    <row r="27" spans="2:21" s="121" customFormat="1" ht="24" customHeight="1" x14ac:dyDescent="0.25">
      <c r="B27" s="187" t="s">
        <v>119</v>
      </c>
      <c r="C27" s="188">
        <v>0</v>
      </c>
      <c r="D27" s="188">
        <v>0</v>
      </c>
      <c r="E27" s="189">
        <v>0</v>
      </c>
      <c r="F27" s="188">
        <v>0</v>
      </c>
      <c r="G27" s="188">
        <v>0</v>
      </c>
      <c r="H27" s="189">
        <v>0</v>
      </c>
      <c r="I27" s="189">
        <v>0</v>
      </c>
      <c r="J27" s="189">
        <v>-88.600999999999999</v>
      </c>
      <c r="K27" s="189">
        <v>0.54234499999999997</v>
      </c>
      <c r="L27" s="189">
        <v>2.4137309999999998</v>
      </c>
      <c r="M27" s="904">
        <v>-26.804267000000003</v>
      </c>
      <c r="N27" s="981">
        <v>-57.492507784198303</v>
      </c>
      <c r="O27" s="788">
        <v>-88.600999999999999</v>
      </c>
      <c r="P27" s="206">
        <v>-81.34069878419831</v>
      </c>
      <c r="S27" s="122"/>
    </row>
    <row r="28" spans="2:21" s="121" customFormat="1" ht="24" customHeight="1" thickBot="1" x14ac:dyDescent="0.3">
      <c r="B28" s="174" t="s">
        <v>364</v>
      </c>
      <c r="C28" s="176">
        <f t="shared" ref="C28:P28" si="4">C22+C24+C26</f>
        <v>254.37200000000007</v>
      </c>
      <c r="D28" s="176">
        <f t="shared" si="4"/>
        <v>133.74999999999997</v>
      </c>
      <c r="E28" s="175">
        <f t="shared" si="4"/>
        <v>379.35599999999994</v>
      </c>
      <c r="F28" s="176">
        <f t="shared" si="4"/>
        <v>311.02099999999996</v>
      </c>
      <c r="G28" s="176">
        <f t="shared" si="4"/>
        <v>324.9439999999999</v>
      </c>
      <c r="H28" s="175">
        <f t="shared" si="4"/>
        <v>452.16000000000008</v>
      </c>
      <c r="I28" s="175">
        <f t="shared" si="4"/>
        <v>432.61964066000002</v>
      </c>
      <c r="J28" s="175">
        <f t="shared" si="4"/>
        <v>226.19599999999983</v>
      </c>
      <c r="K28" s="175">
        <f t="shared" si="4"/>
        <v>382.43599999999998</v>
      </c>
      <c r="L28" s="175">
        <f t="shared" si="4"/>
        <v>370.84699999999998</v>
      </c>
      <c r="M28" s="905">
        <f>M22+M24+M26</f>
        <v>350.64</v>
      </c>
      <c r="N28" s="780">
        <f t="shared" si="4"/>
        <v>274.32194122898795</v>
      </c>
      <c r="O28" s="789">
        <f>O22+O24+O26</f>
        <v>1435.9196406600001</v>
      </c>
      <c r="P28" s="207">
        <f t="shared" si="4"/>
        <v>1378.2449412289882</v>
      </c>
      <c r="S28" s="948"/>
      <c r="U28" s="122"/>
    </row>
    <row r="29" spans="2:21" s="121" customFormat="1" ht="24" customHeight="1" thickBot="1" x14ac:dyDescent="0.3">
      <c r="B29" s="190" t="s">
        <v>451</v>
      </c>
      <c r="C29" s="192">
        <f t="shared" ref="C29:P29" si="5">C23+C24+C26-C25-C27</f>
        <v>278.30500000000012</v>
      </c>
      <c r="D29" s="192">
        <f t="shared" si="5"/>
        <v>316.72362100999999</v>
      </c>
      <c r="E29" s="191">
        <f t="shared" si="5"/>
        <v>380.92224599999992</v>
      </c>
      <c r="F29" s="192">
        <f t="shared" si="5"/>
        <v>426.17999999999995</v>
      </c>
      <c r="G29" s="192">
        <f t="shared" si="5"/>
        <v>389.97930387999992</v>
      </c>
      <c r="H29" s="191">
        <f t="shared" si="5"/>
        <v>444.50051750000011</v>
      </c>
      <c r="I29" s="191">
        <f t="shared" si="5"/>
        <v>434.45674866000002</v>
      </c>
      <c r="J29" s="191">
        <f t="shared" si="5"/>
        <v>439.78069223999984</v>
      </c>
      <c r="K29" s="191">
        <f t="shared" si="5"/>
        <v>384.74276794999997</v>
      </c>
      <c r="L29" s="191">
        <f>L23+L24+L26-L25-L27</f>
        <v>397.18900136000002</v>
      </c>
      <c r="M29" s="906">
        <f>M23+M24+M26-M25-M27</f>
        <v>382.77205034999997</v>
      </c>
      <c r="N29" s="781">
        <f t="shared" si="5"/>
        <v>390.8251982931863</v>
      </c>
      <c r="O29" s="790">
        <f>O23+O24+O26-O25-O27</f>
        <v>1708.7172622799999</v>
      </c>
      <c r="P29" s="208">
        <f t="shared" si="5"/>
        <v>1555.5290179531864</v>
      </c>
      <c r="S29" s="122"/>
    </row>
    <row r="30" spans="2:21" s="121" customFormat="1" ht="24" customHeight="1" thickBot="1" x14ac:dyDescent="0.3">
      <c r="B30" s="193" t="s">
        <v>122</v>
      </c>
      <c r="C30" s="194">
        <v>-75.64</v>
      </c>
      <c r="D30" s="194">
        <v>-14.627000000000001</v>
      </c>
      <c r="E30" s="195">
        <v>-102.38800000000001</v>
      </c>
      <c r="F30" s="194">
        <v>-99.454999999999998</v>
      </c>
      <c r="G30" s="194">
        <v>-91.998000000000005</v>
      </c>
      <c r="H30" s="195">
        <v>-120.983</v>
      </c>
      <c r="I30" s="195">
        <v>-114.39580782999995</v>
      </c>
      <c r="J30" s="195">
        <v>-42.829000000000001</v>
      </c>
      <c r="K30" s="195">
        <v>-100.398</v>
      </c>
      <c r="L30" s="195">
        <v>-96.962000000000003</v>
      </c>
      <c r="M30" s="907">
        <v>-91.867999999999995</v>
      </c>
      <c r="N30" s="782">
        <v>-26.966000000000001</v>
      </c>
      <c r="O30" s="791">
        <v>-370.20580782999997</v>
      </c>
      <c r="P30" s="209">
        <v>-316.19400000000002</v>
      </c>
      <c r="S30" s="122"/>
    </row>
    <row r="31" spans="2:21" s="121" customFormat="1" ht="24" customHeight="1" thickBot="1" x14ac:dyDescent="0.3">
      <c r="B31" s="193" t="s">
        <v>707</v>
      </c>
      <c r="C31" s="194">
        <v>-75.64</v>
      </c>
      <c r="D31" s="194">
        <v>-79.180905252499997</v>
      </c>
      <c r="E31" s="195">
        <v>-102.38800000000001</v>
      </c>
      <c r="F31" s="194">
        <v>-99.454999999999998</v>
      </c>
      <c r="G31" s="194">
        <v>-110.8582381252</v>
      </c>
      <c r="H31" s="195">
        <v>-118.76175007500001</v>
      </c>
      <c r="I31" s="195">
        <v>-114.92856914999996</v>
      </c>
      <c r="J31" s="195">
        <v>-104.7685607496</v>
      </c>
      <c r="K31" s="195">
        <v>-101.06696270549999</v>
      </c>
      <c r="L31" s="195">
        <v>-104.6011803944</v>
      </c>
      <c r="M31" s="907">
        <v>-101.18629460149999</v>
      </c>
      <c r="N31" s="782">
        <v>-60.751944548617502</v>
      </c>
      <c r="O31" s="791">
        <v>-449.31711809979998</v>
      </c>
      <c r="P31" s="209">
        <v>-367.60638225001753</v>
      </c>
      <c r="R31" s="122"/>
      <c r="S31" s="122"/>
      <c r="T31" s="122"/>
      <c r="U31" s="123"/>
    </row>
    <row r="32" spans="2:21" s="121" customFormat="1" ht="24" customHeight="1" thickBot="1" x14ac:dyDescent="0.3">
      <c r="B32" s="196" t="s">
        <v>133</v>
      </c>
      <c r="C32" s="194">
        <v>-1.0289999999999999</v>
      </c>
      <c r="D32" s="194">
        <v>-0.56000000000000005</v>
      </c>
      <c r="E32" s="195">
        <v>-0.41099999999999998</v>
      </c>
      <c r="F32" s="194">
        <v>0.32400000000000001</v>
      </c>
      <c r="G32" s="194">
        <v>-0.186</v>
      </c>
      <c r="H32" s="195">
        <v>1.17</v>
      </c>
      <c r="I32" s="195">
        <v>-0.1746048999999999</v>
      </c>
      <c r="J32" s="195">
        <v>-0.97</v>
      </c>
      <c r="K32" s="195">
        <v>-1.6850000000000001</v>
      </c>
      <c r="L32" s="195">
        <v>-1.621</v>
      </c>
      <c r="M32" s="907">
        <v>-1.925</v>
      </c>
      <c r="N32" s="782">
        <v>-2.831</v>
      </c>
      <c r="O32" s="791">
        <v>-0.16060489999999983</v>
      </c>
      <c r="P32" s="209">
        <v>-8.0619999999999994</v>
      </c>
      <c r="S32" s="122"/>
    </row>
    <row r="33" spans="2:22" s="121" customFormat="1" ht="24" customHeight="1" thickBot="1" x14ac:dyDescent="0.3">
      <c r="B33" s="197" t="s">
        <v>452</v>
      </c>
      <c r="C33" s="192">
        <f t="shared" ref="C33:L33" si="6">C28+C31-C25-C21-C13-C32-C12-C27-C14</f>
        <v>195.42000000000007</v>
      </c>
      <c r="D33" s="192">
        <f t="shared" si="6"/>
        <v>205.33071575749997</v>
      </c>
      <c r="E33" s="191">
        <f t="shared" si="6"/>
        <v>297.08524599999993</v>
      </c>
      <c r="F33" s="192">
        <f t="shared" si="6"/>
        <v>284.67999999999995</v>
      </c>
      <c r="G33" s="192">
        <f t="shared" si="6"/>
        <v>307.09306575479991</v>
      </c>
      <c r="H33" s="191">
        <f t="shared" si="6"/>
        <v>305.34376742500007</v>
      </c>
      <c r="I33" s="191">
        <f t="shared" si="6"/>
        <v>296.39807457000012</v>
      </c>
      <c r="J33" s="191">
        <f>J28+J31-J25-J21-J13-J32-J12-J27-J14</f>
        <v>286.78713149039982</v>
      </c>
      <c r="K33" s="191">
        <f t="shared" si="6"/>
        <v>276.57580524450003</v>
      </c>
      <c r="L33" s="191">
        <f t="shared" si="6"/>
        <v>246.33082096560003</v>
      </c>
      <c r="M33" s="191">
        <f>M28+M31-M25-M21-M13-M32-M12-M27-M14</f>
        <v>270.17275574850004</v>
      </c>
      <c r="N33" s="781">
        <f>N28+N31-N25-N21-N13-N32-N12-N27-N14</f>
        <v>293.74430651558077</v>
      </c>
      <c r="O33" s="790">
        <f>O28+O31-O25-O21-O13-O32-O12-O27-O14</f>
        <v>1195.6220392402004</v>
      </c>
      <c r="P33" s="208">
        <f>P28+P31-P25-P21-P13-P32-P12-P27-P14</f>
        <v>1086.8236884741809</v>
      </c>
      <c r="S33" s="122"/>
    </row>
    <row r="34" spans="2:22" s="121" customFormat="1" ht="24" customHeight="1" thickBot="1" x14ac:dyDescent="0.3">
      <c r="B34" s="197" t="s">
        <v>365</v>
      </c>
      <c r="C34" s="194">
        <v>8.2740000000000578</v>
      </c>
      <c r="D34" s="194">
        <v>32.771999999999878</v>
      </c>
      <c r="E34" s="195">
        <v>-18.139999999999873</v>
      </c>
      <c r="F34" s="194">
        <v>41.721000000000004</v>
      </c>
      <c r="G34" s="194">
        <v>-27.786000000000001</v>
      </c>
      <c r="H34" s="195">
        <v>19.225000000000023</v>
      </c>
      <c r="I34" s="195">
        <v>23.304709839999987</v>
      </c>
      <c r="J34" s="195">
        <v>49.19500000000005</v>
      </c>
      <c r="K34" s="195">
        <v>8.7850000000000819</v>
      </c>
      <c r="L34" s="195">
        <v>47.8780000000001</v>
      </c>
      <c r="M34" s="907">
        <v>13.338000000000022</v>
      </c>
      <c r="N34" s="782">
        <v>39.159947228987903</v>
      </c>
      <c r="O34" s="791">
        <v>63.938709840000172</v>
      </c>
      <c r="P34" s="209">
        <v>109.16094722898811</v>
      </c>
      <c r="S34" s="122"/>
    </row>
    <row r="35" spans="2:22" s="121" customFormat="1" ht="24" customHeight="1" thickBot="1" x14ac:dyDescent="0.3">
      <c r="B35" s="197" t="s">
        <v>409</v>
      </c>
      <c r="C35" s="192">
        <f t="shared" ref="C35:P35" si="7">C34+C33</f>
        <v>203.69400000000013</v>
      </c>
      <c r="D35" s="192">
        <f t="shared" si="7"/>
        <v>238.10271575749985</v>
      </c>
      <c r="E35" s="191">
        <f t="shared" si="7"/>
        <v>278.94524600000005</v>
      </c>
      <c r="F35" s="192">
        <f t="shared" si="7"/>
        <v>326.40099999999995</v>
      </c>
      <c r="G35" s="192">
        <f t="shared" si="7"/>
        <v>279.30706575479991</v>
      </c>
      <c r="H35" s="191">
        <f t="shared" si="7"/>
        <v>324.56876742500009</v>
      </c>
      <c r="I35" s="191">
        <f t="shared" si="7"/>
        <v>319.70278441000011</v>
      </c>
      <c r="J35" s="191">
        <f t="shared" si="7"/>
        <v>335.98213149039987</v>
      </c>
      <c r="K35" s="191">
        <f t="shared" si="7"/>
        <v>285.36080524450011</v>
      </c>
      <c r="L35" s="191">
        <f t="shared" si="7"/>
        <v>294.20882096560013</v>
      </c>
      <c r="M35" s="906">
        <f>M34+M33</f>
        <v>283.51075574850006</v>
      </c>
      <c r="N35" s="781">
        <f>N34+N33</f>
        <v>332.90425374456868</v>
      </c>
      <c r="O35" s="790">
        <f>O34+O33</f>
        <v>1259.5607490802006</v>
      </c>
      <c r="P35" s="208">
        <f t="shared" si="7"/>
        <v>1195.984635703169</v>
      </c>
      <c r="S35" s="122"/>
    </row>
    <row r="36" spans="2:22" s="121" customFormat="1" ht="24" customHeight="1" x14ac:dyDescent="0.25">
      <c r="B36" s="168" t="s">
        <v>172</v>
      </c>
      <c r="C36" s="178">
        <f t="shared" ref="C36:P36" si="8">C28+C30-C32</f>
        <v>179.76100000000008</v>
      </c>
      <c r="D36" s="178">
        <f t="shared" si="8"/>
        <v>119.68299999999998</v>
      </c>
      <c r="E36" s="177">
        <f t="shared" si="8"/>
        <v>277.37899999999996</v>
      </c>
      <c r="F36" s="178">
        <f t="shared" si="8"/>
        <v>211.24199999999996</v>
      </c>
      <c r="G36" s="178">
        <f t="shared" si="8"/>
        <v>233.13199999999992</v>
      </c>
      <c r="H36" s="177">
        <f t="shared" si="8"/>
        <v>330.00700000000006</v>
      </c>
      <c r="I36" s="177">
        <f t="shared" si="8"/>
        <v>318.39843773000007</v>
      </c>
      <c r="J36" s="177">
        <f t="shared" si="8"/>
        <v>184.33699999999982</v>
      </c>
      <c r="K36" s="177">
        <f t="shared" si="8"/>
        <v>283.72300000000001</v>
      </c>
      <c r="L36" s="177">
        <f t="shared" si="8"/>
        <v>275.50599999999997</v>
      </c>
      <c r="M36" s="908">
        <f t="shared" si="8"/>
        <v>260.697</v>
      </c>
      <c r="N36" s="783">
        <f>N28+N30-N32</f>
        <v>250.18694122898793</v>
      </c>
      <c r="O36" s="792">
        <f t="shared" si="8"/>
        <v>1065.8744377300002</v>
      </c>
      <c r="P36" s="210">
        <f t="shared" si="8"/>
        <v>1070.1129412289881</v>
      </c>
      <c r="S36" s="122"/>
    </row>
    <row r="37" spans="2:22" s="125" customFormat="1" ht="17.25" customHeight="1" x14ac:dyDescent="0.25">
      <c r="B37" s="124"/>
    </row>
    <row r="38" spans="2:22" s="112" customFormat="1" ht="24" customHeight="1" x14ac:dyDescent="0.25">
      <c r="B38" s="141" t="s">
        <v>106</v>
      </c>
      <c r="C38" s="179">
        <v>45016</v>
      </c>
      <c r="D38" s="179">
        <v>45107</v>
      </c>
      <c r="E38" s="179">
        <v>45199</v>
      </c>
      <c r="F38" s="179">
        <v>45291</v>
      </c>
      <c r="G38" s="179">
        <v>45382</v>
      </c>
      <c r="H38" s="179">
        <v>45473</v>
      </c>
      <c r="I38" s="179">
        <v>45565</v>
      </c>
      <c r="J38" s="179">
        <v>45657</v>
      </c>
      <c r="K38" s="179">
        <v>45747</v>
      </c>
      <c r="L38" s="179">
        <v>45838</v>
      </c>
      <c r="M38" s="183">
        <v>45930</v>
      </c>
      <c r="N38" s="179">
        <v>46022</v>
      </c>
      <c r="O38" s="794">
        <v>45657</v>
      </c>
      <c r="P38" s="796">
        <v>46022</v>
      </c>
    </row>
    <row r="39" spans="2:22" s="125" customFormat="1" ht="24" customHeight="1" x14ac:dyDescent="0.25">
      <c r="B39" s="146" t="s">
        <v>467</v>
      </c>
      <c r="C39" s="148">
        <v>74679.885999999999</v>
      </c>
      <c r="D39" s="148">
        <v>76982.615999999995</v>
      </c>
      <c r="E39" s="147">
        <v>79258.884000000005</v>
      </c>
      <c r="F39" s="148">
        <v>75499.738261459977</v>
      </c>
      <c r="G39" s="148">
        <v>77250.433999999994</v>
      </c>
      <c r="H39" s="147">
        <v>76625.849000000002</v>
      </c>
      <c r="I39" s="147">
        <v>78790.432941040068</v>
      </c>
      <c r="J39" s="147">
        <v>79124.71025229001</v>
      </c>
      <c r="K39" s="147">
        <v>78246.243000000002</v>
      </c>
      <c r="L39" s="147">
        <v>81249.259999999995</v>
      </c>
      <c r="M39" s="902">
        <v>83059.418999999994</v>
      </c>
      <c r="N39" s="774">
        <v>90091.470950999996</v>
      </c>
      <c r="O39" s="786">
        <f t="shared" ref="O39:O43" si="9">J39</f>
        <v>79124.71025229001</v>
      </c>
      <c r="P39" s="204">
        <f t="shared" ref="P39:P44" si="10">N39</f>
        <v>90091.470950999996</v>
      </c>
    </row>
    <row r="40" spans="2:22" s="125" customFormat="1" ht="24" customHeight="1" x14ac:dyDescent="0.25">
      <c r="B40" s="146" t="s">
        <v>243</v>
      </c>
      <c r="C40" s="148">
        <v>36823.953307999996</v>
      </c>
      <c r="D40" s="148">
        <v>36987.841641749998</v>
      </c>
      <c r="E40" s="147">
        <v>37298.183124290001</v>
      </c>
      <c r="F40" s="148">
        <v>38398.370784270002</v>
      </c>
      <c r="G40" s="148">
        <v>37198.035780430007</v>
      </c>
      <c r="H40" s="147">
        <v>38398.539018700001</v>
      </c>
      <c r="I40" s="147">
        <v>39036.243861620002</v>
      </c>
      <c r="J40" s="147">
        <v>41425.406067190117</v>
      </c>
      <c r="K40" s="147">
        <v>42105.891412029894</v>
      </c>
      <c r="L40" s="147">
        <v>42541.689731929902</v>
      </c>
      <c r="M40" s="902">
        <v>43359.265431019958</v>
      </c>
      <c r="N40" s="774">
        <v>44493.336650659934</v>
      </c>
      <c r="O40" s="786">
        <f>J40</f>
        <v>41425.406067190117</v>
      </c>
      <c r="P40" s="204">
        <f>N40</f>
        <v>44493.336650659934</v>
      </c>
      <c r="S40" s="126"/>
      <c r="U40" s="126"/>
    </row>
    <row r="41" spans="2:22" s="125" customFormat="1" ht="24" customHeight="1" x14ac:dyDescent="0.25">
      <c r="B41" s="143" t="s">
        <v>708</v>
      </c>
      <c r="C41" s="144">
        <v>2441.5529170199989</v>
      </c>
      <c r="D41" s="144">
        <v>2048.5796317300005</v>
      </c>
      <c r="E41" s="145">
        <v>2045.45625649</v>
      </c>
      <c r="F41" s="144">
        <v>1329.3203579900003</v>
      </c>
      <c r="G41" s="144">
        <v>1302.6420000000001</v>
      </c>
      <c r="H41" s="145">
        <v>1263.5071478100012</v>
      </c>
      <c r="I41" s="145">
        <v>1261.8381047699991</v>
      </c>
      <c r="J41" s="145">
        <v>1067.9918054000004</v>
      </c>
      <c r="K41" s="145">
        <v>1097.1468719499992</v>
      </c>
      <c r="L41" s="145">
        <v>1086.2180770500001</v>
      </c>
      <c r="M41" s="900">
        <v>1088.37822598</v>
      </c>
      <c r="N41" s="773">
        <v>898.86717680999982</v>
      </c>
      <c r="O41" s="784">
        <f t="shared" si="9"/>
        <v>1067.9918054000004</v>
      </c>
      <c r="P41" s="202">
        <f t="shared" si="10"/>
        <v>898.86717680999982</v>
      </c>
      <c r="S41" s="126"/>
    </row>
    <row r="42" spans="2:22" s="125" customFormat="1" ht="24" customHeight="1" x14ac:dyDescent="0.25">
      <c r="B42" s="146" t="s">
        <v>709</v>
      </c>
      <c r="C42" s="148">
        <v>35464.218000000001</v>
      </c>
      <c r="D42" s="148">
        <v>35823.851999999999</v>
      </c>
      <c r="E42" s="147">
        <v>36126.286</v>
      </c>
      <c r="F42" s="148">
        <v>36628.649683999996</v>
      </c>
      <c r="G42" s="148">
        <v>36414.089999999997</v>
      </c>
      <c r="H42" s="147">
        <v>37655.427000000003</v>
      </c>
      <c r="I42" s="147">
        <v>38261.902728959998</v>
      </c>
      <c r="J42" s="147">
        <v>39814.917252289997</v>
      </c>
      <c r="K42" s="147">
        <v>40827.213000000003</v>
      </c>
      <c r="L42" s="147">
        <v>41804.887000000002</v>
      </c>
      <c r="M42" s="902">
        <v>42568.436293589992</v>
      </c>
      <c r="N42" s="774">
        <v>42954.633950999996</v>
      </c>
      <c r="O42" s="786">
        <f t="shared" si="9"/>
        <v>39814.917252289997</v>
      </c>
      <c r="P42" s="204">
        <f t="shared" si="10"/>
        <v>42954.633950999996</v>
      </c>
      <c r="S42" s="820"/>
      <c r="T42" s="126"/>
    </row>
    <row r="43" spans="2:22" s="125" customFormat="1" ht="24" customHeight="1" x14ac:dyDescent="0.25">
      <c r="B43" s="146" t="s">
        <v>173</v>
      </c>
      <c r="C43" s="148">
        <v>5825.1</v>
      </c>
      <c r="D43" s="148">
        <v>5920.1880000000001</v>
      </c>
      <c r="E43" s="147">
        <v>6170.9849999999997</v>
      </c>
      <c r="F43" s="148">
        <v>6350.7669999999998</v>
      </c>
      <c r="G43" s="148">
        <v>6589.1220000000003</v>
      </c>
      <c r="H43" s="147">
        <v>6782.1379999999999</v>
      </c>
      <c r="I43" s="147">
        <v>7092.0439822899998</v>
      </c>
      <c r="J43" s="147">
        <v>7200.2520000000004</v>
      </c>
      <c r="K43" s="147">
        <v>7500.9569999999985</v>
      </c>
      <c r="L43" s="147">
        <v>7358.0069999999996</v>
      </c>
      <c r="M43" s="902">
        <v>7600.4216562799984</v>
      </c>
      <c r="N43" s="774">
        <v>7277.5800000000008</v>
      </c>
      <c r="O43" s="786">
        <f t="shared" si="9"/>
        <v>7200.2520000000004</v>
      </c>
      <c r="P43" s="204">
        <f t="shared" si="10"/>
        <v>7277.5800000000008</v>
      </c>
      <c r="S43" s="126"/>
    </row>
    <row r="44" spans="2:22" s="125" customFormat="1" ht="24" customHeight="1" x14ac:dyDescent="0.25">
      <c r="B44" s="171" t="s">
        <v>174</v>
      </c>
      <c r="C44" s="173">
        <v>6765.2150000000011</v>
      </c>
      <c r="D44" s="173">
        <v>6892.6440000000002</v>
      </c>
      <c r="E44" s="172">
        <v>7145.3239999999996</v>
      </c>
      <c r="F44" s="173">
        <v>7353.4609999999993</v>
      </c>
      <c r="G44" s="173">
        <v>7590.5529999999999</v>
      </c>
      <c r="H44" s="172">
        <v>7804.45</v>
      </c>
      <c r="I44" s="172">
        <v>8150.2597738300001</v>
      </c>
      <c r="J44" s="172">
        <v>8272.7919999999976</v>
      </c>
      <c r="K44" s="172">
        <v>8587.5669999999991</v>
      </c>
      <c r="L44" s="172">
        <v>8864.6910000000007</v>
      </c>
      <c r="M44" s="909">
        <v>9126.5750175499979</v>
      </c>
      <c r="N44" s="793">
        <v>9378.7450000000008</v>
      </c>
      <c r="O44" s="795">
        <f>J44</f>
        <v>8272.7919999999976</v>
      </c>
      <c r="P44" s="211">
        <f t="shared" si="10"/>
        <v>9378.7450000000008</v>
      </c>
      <c r="U44" s="127"/>
      <c r="V44" s="128"/>
    </row>
    <row r="45" spans="2:22" s="125" customFormat="1" ht="17.25" customHeight="1" x14ac:dyDescent="0.25">
      <c r="B45" s="124"/>
      <c r="T45" s="129"/>
    </row>
    <row r="46" spans="2:22" ht="24" customHeight="1" x14ac:dyDescent="0.25">
      <c r="B46" s="141" t="s">
        <v>123</v>
      </c>
      <c r="C46" s="179" t="s">
        <v>154</v>
      </c>
      <c r="D46" s="179" t="s">
        <v>157</v>
      </c>
      <c r="E46" s="179" t="s">
        <v>165</v>
      </c>
      <c r="F46" s="179" t="s">
        <v>268</v>
      </c>
      <c r="G46" s="179" t="s">
        <v>274</v>
      </c>
      <c r="H46" s="179" t="s">
        <v>360</v>
      </c>
      <c r="I46" s="179" t="s">
        <v>397</v>
      </c>
      <c r="J46" s="179" t="s">
        <v>416</v>
      </c>
      <c r="K46" s="179" t="s">
        <v>446</v>
      </c>
      <c r="L46" s="142" t="s">
        <v>455</v>
      </c>
      <c r="M46" s="181" t="s">
        <v>496</v>
      </c>
      <c r="N46" s="142" t="s">
        <v>559</v>
      </c>
      <c r="O46" s="775" t="s">
        <v>570</v>
      </c>
      <c r="P46" s="180" t="s">
        <v>571</v>
      </c>
    </row>
    <row r="47" spans="2:22" ht="24" customHeight="1" x14ac:dyDescent="0.25">
      <c r="B47" s="146" t="s">
        <v>366</v>
      </c>
      <c r="C47" s="167">
        <f>(C33-(600*8.75%/4))/1249.995345</f>
        <v>0.14583654309528654</v>
      </c>
      <c r="D47" s="167">
        <f>(D33-(600*8.75%/4))/1249.341331</f>
        <v>0.1538456392887077</v>
      </c>
      <c r="E47" s="166">
        <f>(E33-(600*8.75%/4))/1243.96483</f>
        <v>0.22827031693492489</v>
      </c>
      <c r="F47" s="167">
        <f>(F33-(600*8.75%/4))/1245.122198</f>
        <v>0.21809505961438166</v>
      </c>
      <c r="G47" s="167">
        <f>(G33-(600*8.75%/4))/1245.893686</f>
        <v>0.23594955898572548</v>
      </c>
      <c r="H47" s="166">
        <f>(H33-(600*8.75%/4))/1245.212023</f>
        <v>0.23467390454597309</v>
      </c>
      <c r="I47" s="166">
        <f>(I33-(600*8.75%/4))/1246.622609</f>
        <v>0.22723242184515852</v>
      </c>
      <c r="J47" s="166">
        <f>(J33-(600*8.75%/4))/1246.037681</f>
        <v>0.21962588745371964</v>
      </c>
      <c r="K47" s="166">
        <f>(K33-(600*8.75%/4))/1247.448117</f>
        <v>0.21119179359384938</v>
      </c>
      <c r="L47" s="166">
        <f>(L33-(600*8.75%/4))/1247.575412</f>
        <v>0.18692723399521444</v>
      </c>
      <c r="M47" s="910">
        <f>(M33-(79.5/4))/1247.988213</f>
        <v>0.20056099339818045</v>
      </c>
      <c r="N47" s="212">
        <f>(N33-(81.6/4))/1230.028374</f>
        <v>0.22222601713379728</v>
      </c>
      <c r="O47" s="802">
        <f>(O33-(52.5))/1246.622609</f>
        <v>0.91697521847223318</v>
      </c>
      <c r="P47" s="213">
        <f>(P33-(66.525))/1230.028374</f>
        <v>0.82949199387670469</v>
      </c>
    </row>
    <row r="48" spans="2:22" ht="24" customHeight="1" x14ac:dyDescent="0.25">
      <c r="B48" s="146" t="s">
        <v>367</v>
      </c>
      <c r="C48" s="166">
        <f>(C35-(600*8.75%/4))/1249.995345</f>
        <v>0.15245576774527919</v>
      </c>
      <c r="D48" s="166">
        <f>(D35-(600*8.75%/4))/1249.341331</f>
        <v>0.1800770615484423</v>
      </c>
      <c r="E48" s="166">
        <f>(E35-(600*8.75%/4))/1243.96483</f>
        <v>0.21368791109632904</v>
      </c>
      <c r="F48" s="166">
        <f>(F35-(600*8.75%/4))/1245.122198</f>
        <v>0.25160261418775215</v>
      </c>
      <c r="G48" s="166">
        <f>(G35-(600*8.75%/4))/1245.893686</f>
        <v>0.21364749556552445</v>
      </c>
      <c r="H48" s="166">
        <f>(H35-(600*8.75%/4))/1245.212023</f>
        <v>0.25011304233528114</v>
      </c>
      <c r="I48" s="166">
        <f>(I35-(600*8.75%/4))/1246.622609</f>
        <v>0.24592670002666389</v>
      </c>
      <c r="J48" s="166">
        <f>(J35-(600*8.75%/4))/1246.037681</f>
        <v>0.25910703698085025</v>
      </c>
      <c r="K48" s="166">
        <f>(K35-(600*8.75%/4))/1247.448117</f>
        <v>0.21823417065168421</v>
      </c>
      <c r="L48" s="166">
        <f>(L35-(600*8.75%/4))/1247.575412</f>
        <v>0.22530407241273856</v>
      </c>
      <c r="M48" s="910">
        <f>(M35-(79.5/4))/1247.988213</f>
        <v>0.21124859433948839</v>
      </c>
      <c r="N48" s="212">
        <f>(N35-(81.6/4))/1230.028374</f>
        <v>0.25406263818802666</v>
      </c>
      <c r="O48" s="802">
        <f>(O35-(52.5))/1246.622609</f>
        <v>0.96826476622982582</v>
      </c>
      <c r="P48" s="213">
        <f>(P35-(66.525))/1230.028374</f>
        <v>0.91823868422662014</v>
      </c>
    </row>
    <row r="49" spans="2:19" ht="24" customHeight="1" x14ac:dyDescent="0.25">
      <c r="B49" s="233" t="s">
        <v>368</v>
      </c>
      <c r="C49" s="212">
        <f>(C36-(600*8.75%/4))/1249.995345</f>
        <v>0.13330929644382003</v>
      </c>
      <c r="D49" s="212">
        <f>(D36-(600*8.75%/4))/1249.341331</f>
        <v>8.5291343010887685E-2</v>
      </c>
      <c r="E49" s="212">
        <f>(E36-(600*8.75%/4))/1243.96483</f>
        <v>0.21242883530718468</v>
      </c>
      <c r="F49" s="212">
        <f>(F36-(600*8.75%/4))/1245.122198</f>
        <v>0.15911450323368179</v>
      </c>
      <c r="G49" s="212">
        <f>(G36-(600*8.75%/4))/1245.893686</f>
        <v>0.17658569304283314</v>
      </c>
      <c r="H49" s="212">
        <f>(H36-(600*8.75%/4))/1245.212023</f>
        <v>0.25448035687654136</v>
      </c>
      <c r="I49" s="212">
        <f>(I36-(600*8.75%/4))/1246.622609</f>
        <v>0.24488039565950154</v>
      </c>
      <c r="J49" s="212">
        <f>(J36-(600*8.75%/4))/1246.037681</f>
        <v>0.1374051544433188</v>
      </c>
      <c r="K49" s="212">
        <f>(K36-(600*8.75%/4))/1247.448117</f>
        <v>0.21692124611223412</v>
      </c>
      <c r="L49" s="212">
        <f>(L36-(600*8.75%/4))/1247.575412</f>
        <v>0.21031273739146117</v>
      </c>
      <c r="M49" s="911">
        <f>(M36-(79.5/4))/1247.988213</f>
        <v>0.19296816868253547</v>
      </c>
      <c r="N49" s="212">
        <f>(N36-(81.6/4))/1230.028374</f>
        <v>0.18681434191776453</v>
      </c>
      <c r="O49" s="803">
        <f>(O36-(52.5))/1246.622609</f>
        <v>0.81289592408635691</v>
      </c>
      <c r="P49" s="213">
        <f>(P36-(66.525))/1230.028374</f>
        <v>0.81590633390460976</v>
      </c>
    </row>
    <row r="50" spans="2:19" ht="24" customHeight="1" x14ac:dyDescent="0.25">
      <c r="B50" s="146" t="s">
        <v>369</v>
      </c>
      <c r="C50" s="153">
        <f>(C35-(600*8.75%/4))*4/((5825+5641)/2)</f>
        <v>0.13296284667713248</v>
      </c>
      <c r="D50" s="153">
        <f t="shared" ref="D50:K50" si="11">(D35-(600*8.75%/4))*4/AVERAGE(C43:D43)</f>
        <v>0.15323776871712289</v>
      </c>
      <c r="E50" s="152">
        <f t="shared" si="11"/>
        <v>0.17587722613844006</v>
      </c>
      <c r="F50" s="153">
        <f t="shared" si="11"/>
        <v>0.2001483498475293</v>
      </c>
      <c r="G50" s="153">
        <f t="shared" si="11"/>
        <v>0.1645652853775175</v>
      </c>
      <c r="H50" s="152">
        <f t="shared" si="11"/>
        <v>0.18633622705713604</v>
      </c>
      <c r="I50" s="152">
        <f t="shared" si="11"/>
        <v>0.17677599143579806</v>
      </c>
      <c r="J50" s="152">
        <f t="shared" si="11"/>
        <v>0.18071673404494926</v>
      </c>
      <c r="K50" s="152">
        <f t="shared" si="11"/>
        <v>0.14814335623389893</v>
      </c>
      <c r="L50" s="152">
        <f>(L35-(600*8.75%/4))*4/AVERAGE(K43:L43)</f>
        <v>0.15133427658380499</v>
      </c>
      <c r="M50" s="680">
        <f>(M35-(79.5/4))*4/AVERAGE(L43:M43)</f>
        <v>0.14099649732276812</v>
      </c>
      <c r="N50" s="770">
        <f>(N35-(81.6/4))*4/AVERAGE(M43:N43)</f>
        <v>0.16803560637468312</v>
      </c>
      <c r="O50" s="804">
        <f>(O35-52.5)/AVERAGE(F43,O43)</f>
        <v>0.17815055075639707</v>
      </c>
      <c r="P50" s="214">
        <f>(P35-66.525)/AVERAGE(J43,P43)</f>
        <v>0.15602607292351076</v>
      </c>
      <c r="S50" s="130"/>
    </row>
    <row r="51" spans="2:19" ht="24" customHeight="1" x14ac:dyDescent="0.25">
      <c r="B51" s="233" t="s">
        <v>418</v>
      </c>
      <c r="C51" s="770">
        <f>(C36*4-52.5)/((5825+5641)/2)</f>
        <v>0.11626443397871974</v>
      </c>
      <c r="D51" s="770">
        <f t="shared" ref="D51:I51" si="12">(D36*4-52.5)/AVERAGE(D43,C43)</f>
        <v>7.2579233476437507E-2</v>
      </c>
      <c r="E51" s="770">
        <f t="shared" si="12"/>
        <v>0.17484093561476624</v>
      </c>
      <c r="F51" s="770">
        <f t="shared" si="12"/>
        <v>0.1265746199094184</v>
      </c>
      <c r="G51" s="770">
        <f t="shared" si="12"/>
        <v>0.13601785919492815</v>
      </c>
      <c r="H51" s="770">
        <f t="shared" si="12"/>
        <v>0.18958991149674753</v>
      </c>
      <c r="I51" s="770">
        <f t="shared" si="12"/>
        <v>0.17602389135138805</v>
      </c>
      <c r="J51" s="770">
        <f>(J36*4-52.5)/AVERAGE(J43,I43)</f>
        <v>9.583456721699779E-2</v>
      </c>
      <c r="K51" s="770">
        <f>(K36*4-52.5)/AVERAGE(K43,J43)</f>
        <v>0.14725210695256427</v>
      </c>
      <c r="L51" s="770">
        <f>(L36*4-52.5)/AVERAGE(L43,K43)</f>
        <v>0.14126476112331923</v>
      </c>
      <c r="M51" s="912">
        <f>(M36*4-79.5)/AVERAGE(M43,L43)</f>
        <v>0.12879534637424403</v>
      </c>
      <c r="N51" s="770">
        <f>(N36*4-81.6)/AVERAGE(N43,M43)</f>
        <v>0.12355795975166864</v>
      </c>
      <c r="O51" s="805">
        <f>(O36-52.5)/AVERAGE(O43,F43)</f>
        <v>0.1495643150865629</v>
      </c>
      <c r="P51" s="214">
        <f>(P36-66.525)/AVERAGE(P43,J43)</f>
        <v>0.13863787633797492</v>
      </c>
      <c r="S51" s="130"/>
    </row>
    <row r="52" spans="2:19" ht="24" customHeight="1" x14ac:dyDescent="0.25">
      <c r="B52" s="146" t="s">
        <v>370</v>
      </c>
      <c r="C52" s="155">
        <f>(C35-(600*8.75%/4))*4/((73128+74680)/2)</f>
        <v>1.031440788049362E-2</v>
      </c>
      <c r="D52" s="155">
        <f t="shared" ref="D52:J52" si="13">(D35-(600*8.75%/4))*4/((D39+C39)/2)</f>
        <v>1.1867282303307901E-2</v>
      </c>
      <c r="E52" s="154">
        <f t="shared" si="13"/>
        <v>1.3610737019293852E-2</v>
      </c>
      <c r="F52" s="155">
        <f t="shared" si="13"/>
        <v>1.6194302865825707E-2</v>
      </c>
      <c r="G52" s="155">
        <f t="shared" si="13"/>
        <v>1.394077986631297E-2</v>
      </c>
      <c r="H52" s="154">
        <f t="shared" si="13"/>
        <v>1.6191904891541996E-2</v>
      </c>
      <c r="I52" s="154">
        <f t="shared" si="13"/>
        <v>1.5780986680729157E-2</v>
      </c>
      <c r="J52" s="154">
        <f t="shared" si="13"/>
        <v>1.63559808115495E-2</v>
      </c>
      <c r="K52" s="154">
        <f>(K35-(600*8.75%/4))*4/((K39+J39)/2)</f>
        <v>1.3839189487938802E-2</v>
      </c>
      <c r="L52" s="161">
        <f>(L35-(600*8.75%/4))*4/((L39+J39)/2)</f>
        <v>1.4021418589234506E-2</v>
      </c>
      <c r="M52" s="686">
        <f>(M35-(79.5/4))*4/((M39+L39)/2)</f>
        <v>1.2836120762604392E-2</v>
      </c>
      <c r="N52" s="819">
        <f>(N35-(81.6/4))*4/((N39+M39)/2)</f>
        <v>1.4438470577102057E-2</v>
      </c>
      <c r="O52" s="811">
        <f>(O35-52.5)/((O39+F39)/2)</f>
        <v>1.5612805874911337E-2</v>
      </c>
      <c r="P52" s="215">
        <f>(P35-66.525)/((P39+J39)/2)</f>
        <v>1.3349310068004411E-2</v>
      </c>
    </row>
    <row r="53" spans="2:19" ht="24" customHeight="1" x14ac:dyDescent="0.25">
      <c r="B53" s="146" t="s">
        <v>419</v>
      </c>
      <c r="C53" s="155">
        <f>(C36*4-52.5)/((73128+74680)/2)</f>
        <v>9.0190517428014767E-3</v>
      </c>
      <c r="D53" s="155">
        <f t="shared" ref="D53:K53" si="14">(D36*4-52.5)/((D39+C39)/2)</f>
        <v>5.6207961015966885E-3</v>
      </c>
      <c r="E53" s="154">
        <f t="shared" si="14"/>
        <v>1.3530540861422859E-2</v>
      </c>
      <c r="F53" s="155">
        <f t="shared" si="14"/>
        <v>1.0241342141973184E-2</v>
      </c>
      <c r="G53" s="155">
        <f t="shared" si="14"/>
        <v>1.1522448544197646E-2</v>
      </c>
      <c r="H53" s="154">
        <f t="shared" si="14"/>
        <v>1.6474637615206761E-2</v>
      </c>
      <c r="I53" s="154">
        <f t="shared" si="14"/>
        <v>1.5713845881131602E-2</v>
      </c>
      <c r="J53" s="154">
        <f t="shared" si="14"/>
        <v>8.6736203526923735E-3</v>
      </c>
      <c r="K53" s="154">
        <f t="shared" si="14"/>
        <v>1.3755931163036904E-2</v>
      </c>
      <c r="L53" s="154">
        <f>(L36*4-52.5)/((L39+J39)/2)</f>
        <v>1.308845816249303E-2</v>
      </c>
      <c r="M53" s="681">
        <f>(M36*4-79.5)/((M39+L39)/2)</f>
        <v>1.1725345317881839E-2</v>
      </c>
      <c r="N53" s="797">
        <f>(N36*4-81.6)/((N39+M39)/2)</f>
        <v>1.0616725853110678E-2</v>
      </c>
      <c r="O53" s="806">
        <f>(O36-52.5)/((O39+F39)/2)</f>
        <v>1.3107557665951976E-2</v>
      </c>
      <c r="P53" s="215">
        <f>(P36-66.525)/((P39+J39)/2)</f>
        <v>1.1861607254016861E-2</v>
      </c>
    </row>
    <row r="54" spans="2:19" s="131" customFormat="1" ht="24" customHeight="1" x14ac:dyDescent="0.25">
      <c r="B54" s="233" t="s">
        <v>271</v>
      </c>
      <c r="C54" s="212">
        <f>C43/1249.995345</f>
        <v>4.6600973542025468</v>
      </c>
      <c r="D54" s="212">
        <f>D43/1249.341331</f>
        <v>4.7386473600944203</v>
      </c>
      <c r="E54" s="212">
        <f>E43/1243.96483</f>
        <v>4.960739123147075</v>
      </c>
      <c r="F54" s="212">
        <f>F43/1245.122198</f>
        <v>5.1005170498132903</v>
      </c>
      <c r="G54" s="212">
        <f>G43/1245.893686</f>
        <v>5.2886711555258668</v>
      </c>
      <c r="H54" s="212">
        <f>H43/1245.212023</f>
        <v>5.4465728524370345</v>
      </c>
      <c r="I54" s="212">
        <f>I43/1246.622609</f>
        <v>5.6890063850029211</v>
      </c>
      <c r="J54" s="212">
        <f>J43/1246.037681</f>
        <v>5.7785186674463018</v>
      </c>
      <c r="K54" s="212">
        <f>K43/1247.448117</f>
        <v>6.0130412622202858</v>
      </c>
      <c r="L54" s="212">
        <f>L43/1247.575412</f>
        <v>5.8978454762941421</v>
      </c>
      <c r="M54" s="911">
        <f>M43/1247.988213</f>
        <v>6.0901389749584096</v>
      </c>
      <c r="N54" s="212">
        <f>N43/1230.028374</f>
        <v>5.9165952215668165</v>
      </c>
      <c r="O54" s="803">
        <f>O43/1246.037681</f>
        <v>5.7785186674463018</v>
      </c>
      <c r="P54" s="213">
        <f>P43/1230.028374</f>
        <v>5.9165952215668165</v>
      </c>
    </row>
    <row r="55" spans="2:19" ht="24" customHeight="1" x14ac:dyDescent="0.25">
      <c r="B55" s="146" t="s">
        <v>371</v>
      </c>
      <c r="C55" s="157">
        <f t="shared" ref="C55:L55" si="15">(C33-(600*8.75%/4))/(C10+C11-C12)</f>
        <v>0.32065229818843205</v>
      </c>
      <c r="D55" s="157">
        <f t="shared" si="15"/>
        <v>0.30547343120933362</v>
      </c>
      <c r="E55" s="158">
        <f t="shared" si="15"/>
        <v>0.422982872753706</v>
      </c>
      <c r="F55" s="157">
        <f t="shared" si="15"/>
        <v>0.39919823712129782</v>
      </c>
      <c r="G55" s="157">
        <f t="shared" si="15"/>
        <v>0.44342485734920783</v>
      </c>
      <c r="H55" s="158">
        <f t="shared" si="15"/>
        <v>0.42055117458299912</v>
      </c>
      <c r="I55" s="158">
        <f t="shared" si="15"/>
        <v>0.41329473280784096</v>
      </c>
      <c r="J55" s="158">
        <f t="shared" si="15"/>
        <v>0.40193066726550902</v>
      </c>
      <c r="K55" s="158">
        <f t="shared" si="15"/>
        <v>0.41120818705974177</v>
      </c>
      <c r="L55" s="158">
        <f t="shared" si="15"/>
        <v>0.36489837390447166</v>
      </c>
      <c r="M55" s="682">
        <f>(M33-(79.5/4))/(M10+M11-M12)</f>
        <v>0.3941107326439352</v>
      </c>
      <c r="N55" s="798">
        <f>(N33-(81.6/4))/(N10+N11-N12)</f>
        <v>0.40000864703332234</v>
      </c>
      <c r="O55" s="807">
        <f>(O33-(52.5))/(O10+O11-O12)</f>
        <v>0.41963797337594316</v>
      </c>
      <c r="P55" s="216">
        <f>(P33-66.525)/(P10+P11-P12)</f>
        <v>0.39269232281495481</v>
      </c>
    </row>
    <row r="56" spans="2:19" ht="24" customHeight="1" x14ac:dyDescent="0.25">
      <c r="B56" s="146" t="s">
        <v>175</v>
      </c>
      <c r="C56" s="159">
        <f t="shared" ref="C56:P56" si="16">C41/C40</f>
        <v>6.6303389443239713E-2</v>
      </c>
      <c r="D56" s="159">
        <f t="shared" si="16"/>
        <v>5.538521689293889E-2</v>
      </c>
      <c r="E56" s="160">
        <f t="shared" si="16"/>
        <v>5.4840640619781847E-2</v>
      </c>
      <c r="F56" s="159">
        <f t="shared" si="16"/>
        <v>3.4619186461279761E-2</v>
      </c>
      <c r="G56" s="159">
        <f t="shared" si="16"/>
        <v>3.5019107129450201E-2</v>
      </c>
      <c r="H56" s="160">
        <f t="shared" si="16"/>
        <v>3.2905083893808466E-2</v>
      </c>
      <c r="I56" s="160">
        <f t="shared" si="16"/>
        <v>3.2324782815762253E-2</v>
      </c>
      <c r="J56" s="160">
        <f t="shared" si="16"/>
        <v>2.5781082354817873E-2</v>
      </c>
      <c r="K56" s="160">
        <f t="shared" si="16"/>
        <v>2.6056849413631889E-2</v>
      </c>
      <c r="L56" s="160">
        <f t="shared" si="16"/>
        <v>2.5533026165501207E-2</v>
      </c>
      <c r="M56" s="683">
        <f t="shared" si="16"/>
        <v>2.5101399093383988E-2</v>
      </c>
      <c r="N56" s="799">
        <f t="shared" si="16"/>
        <v>2.0202287454129778E-2</v>
      </c>
      <c r="O56" s="808">
        <f t="shared" si="16"/>
        <v>2.5781082354817873E-2</v>
      </c>
      <c r="P56" s="753">
        <f t="shared" si="16"/>
        <v>2.0202287454129778E-2</v>
      </c>
    </row>
    <row r="57" spans="2:19" ht="24" customHeight="1" x14ac:dyDescent="0.25">
      <c r="B57" s="146" t="s">
        <v>569</v>
      </c>
      <c r="C57" s="159">
        <v>0.55691433458423933</v>
      </c>
      <c r="D57" s="159">
        <v>0.56819336897542161</v>
      </c>
      <c r="E57" s="160">
        <v>0.57292697228391176</v>
      </c>
      <c r="F57" s="159">
        <v>0.61614287095704312</v>
      </c>
      <c r="G57" s="159">
        <v>0.60181217874520421</v>
      </c>
      <c r="H57" s="160">
        <v>0.58813475140659432</v>
      </c>
      <c r="I57" s="160">
        <v>0.61366123903278191</v>
      </c>
      <c r="J57" s="160">
        <v>0.64709908995150034</v>
      </c>
      <c r="K57" s="160">
        <v>0.64228307451304534</v>
      </c>
      <c r="L57" s="160">
        <v>0.67459235525568961</v>
      </c>
      <c r="M57" s="683">
        <v>0.71414551796231795</v>
      </c>
      <c r="N57" s="799">
        <f>'Loan portfolio quality'!N75</f>
        <v>0.73101494195570915</v>
      </c>
      <c r="O57" s="808">
        <f>J57</f>
        <v>0.64709908995150034</v>
      </c>
      <c r="P57" s="753">
        <f>N57</f>
        <v>0.73101494195570915</v>
      </c>
    </row>
    <row r="58" spans="2:19" ht="24" customHeight="1" x14ac:dyDescent="0.25">
      <c r="B58" s="146" t="s">
        <v>168</v>
      </c>
      <c r="C58" s="155">
        <f>C10*4/((73128+74680)/2)</f>
        <v>2.4186295735007576E-2</v>
      </c>
      <c r="D58" s="155">
        <f>D10*4/((D39+C39)/2)</f>
        <v>2.5730816441364001E-2</v>
      </c>
      <c r="E58" s="154">
        <f t="shared" ref="E58:J58" si="17">E10*4/((E39+D39)/2)</f>
        <v>2.7206651241827556E-2</v>
      </c>
      <c r="F58" s="155">
        <f t="shared" si="17"/>
        <v>2.774100684837344E-2</v>
      </c>
      <c r="G58" s="155">
        <f t="shared" si="17"/>
        <v>2.7109835221081534E-2</v>
      </c>
      <c r="H58" s="154">
        <f t="shared" si="17"/>
        <v>2.7427644583798531E-2</v>
      </c>
      <c r="I58" s="154">
        <f t="shared" si="17"/>
        <v>2.7256105968659187E-2</v>
      </c>
      <c r="J58" s="154">
        <f t="shared" si="17"/>
        <v>2.6014731183636831E-2</v>
      </c>
      <c r="K58" s="154">
        <f>K10*4/((K39+J39)/2)</f>
        <v>2.444934036735277E-2</v>
      </c>
      <c r="L58" s="154">
        <f>L10*4/((L39+K39)/2)</f>
        <v>2.3753196351874572E-2</v>
      </c>
      <c r="M58" s="681">
        <f>M10*4/((M39+L39)/2)</f>
        <v>2.2943693680356349E-2</v>
      </c>
      <c r="N58" s="797">
        <f>N10*4/((N39+M39)/2)</f>
        <v>2.203169733103626E-2</v>
      </c>
      <c r="O58" s="806">
        <f>O10/((O39+F39)/2)</f>
        <v>2.7010053730853644E-2</v>
      </c>
      <c r="P58" s="215">
        <f>P10/((P39+J39)/2)</f>
        <v>2.2487211169412779E-2</v>
      </c>
    </row>
    <row r="59" spans="2:19" ht="24" customHeight="1" x14ac:dyDescent="0.25">
      <c r="B59" s="146" t="s">
        <v>161</v>
      </c>
      <c r="C59" s="155">
        <f>(C11-C12)*4/((73128+74680)/2)</f>
        <v>6.5840549902576317E-3</v>
      </c>
      <c r="D59" s="155">
        <f t="shared" ref="D59:K59" si="18">(D11-D12)*4/((D39+C39)/2)</f>
        <v>7.4589828407288193E-3</v>
      </c>
      <c r="E59" s="154">
        <f t="shared" si="18"/>
        <v>7.1672122963489203E-3</v>
      </c>
      <c r="F59" s="155">
        <f t="shared" si="18"/>
        <v>7.423482990557102E-3</v>
      </c>
      <c r="G59" s="155">
        <f t="shared" si="18"/>
        <v>7.6108588474130484E-3</v>
      </c>
      <c r="H59" s="154">
        <f t="shared" si="18"/>
        <v>8.6973303351758242E-3</v>
      </c>
      <c r="I59" s="154">
        <f t="shared" si="18"/>
        <v>8.02473249484335E-3</v>
      </c>
      <c r="J59" s="154">
        <f t="shared" si="18"/>
        <v>8.4781736122729774E-3</v>
      </c>
      <c r="K59" s="154">
        <f t="shared" si="18"/>
        <v>8.1195670077152931E-3</v>
      </c>
      <c r="L59" s="154">
        <f>(L11-L12)*4/((L39+K39)/2)</f>
        <v>8.3027795460791157E-3</v>
      </c>
      <c r="M59" s="681">
        <f>(M11-M12)*4/((M39+L39)/2)</f>
        <v>7.9783490925637579E-3</v>
      </c>
      <c r="N59" s="797">
        <f>(N11-N12)*4/((N39+M39)/2)</f>
        <v>9.5405801983893257E-3</v>
      </c>
      <c r="O59" s="806">
        <f>(O11-O12)/((O39+F39)/2)</f>
        <v>8.2245708890396601E-3</v>
      </c>
      <c r="P59" s="215">
        <f>(P11-P12)/((P39+J39)/2)</f>
        <v>8.2216013746854999E-3</v>
      </c>
    </row>
    <row r="60" spans="2:19" ht="24" customHeight="1" x14ac:dyDescent="0.25">
      <c r="B60" s="146" t="s">
        <v>417</v>
      </c>
      <c r="C60" s="157">
        <f t="shared" ref="C60:J60" si="19">(C11-C12)/(C16-C12-C15)</f>
        <v>0.21090454535209704</v>
      </c>
      <c r="D60" s="157">
        <f t="shared" si="19"/>
        <v>0.2136113284731517</v>
      </c>
      <c r="E60" s="158">
        <f t="shared" si="19"/>
        <v>0.21429818061568795</v>
      </c>
      <c r="F60" s="157">
        <f t="shared" si="19"/>
        <v>0.19890799089161351</v>
      </c>
      <c r="G60" s="157">
        <f t="shared" si="19"/>
        <v>0.22879166450186805</v>
      </c>
      <c r="H60" s="158">
        <f t="shared" si="19"/>
        <v>0.23427481080104026</v>
      </c>
      <c r="I60" s="158">
        <f t="shared" si="19"/>
        <v>0.2199735638727531</v>
      </c>
      <c r="J60" s="158">
        <f t="shared" si="19"/>
        <v>0.22923195774617022</v>
      </c>
      <c r="K60" s="158">
        <f>(K11-K12)/(K16-K12-K15)</f>
        <v>0.24593200505034948</v>
      </c>
      <c r="L60" s="158">
        <f t="shared" ref="L60:P60" si="20">(L11-L12)/(L16-L12-L15)</f>
        <v>0.24095747158561581</v>
      </c>
      <c r="M60" s="682">
        <f t="shared" si="20"/>
        <v>0.2527076814412591</v>
      </c>
      <c r="N60" s="798">
        <f t="shared" si="20"/>
        <v>0.28580386985988032</v>
      </c>
      <c r="O60" s="807">
        <f t="shared" si="20"/>
        <v>0.22806977083356175</v>
      </c>
      <c r="P60" s="216">
        <f t="shared" si="20"/>
        <v>0.25693301042530603</v>
      </c>
      <c r="S60" s="721"/>
    </row>
    <row r="61" spans="2:19" ht="24" customHeight="1" thickBot="1" x14ac:dyDescent="0.3">
      <c r="B61" s="146" t="s">
        <v>372</v>
      </c>
      <c r="C61" s="162">
        <f t="shared" ref="C61:O61" si="21">-(C20-C21)/(C10+C11-C12)</f>
        <v>0.35680978271385166</v>
      </c>
      <c r="D61" s="162">
        <f t="shared" si="21"/>
        <v>0.31632961700937368</v>
      </c>
      <c r="E61" s="156">
        <f t="shared" si="21"/>
        <v>0.28970153784737124</v>
      </c>
      <c r="F61" s="162">
        <f t="shared" si="21"/>
        <v>0.28836267789389503</v>
      </c>
      <c r="G61" s="162">
        <f t="shared" si="21"/>
        <v>0.29086052791391198</v>
      </c>
      <c r="H61" s="156">
        <f t="shared" si="21"/>
        <v>0.28633722182808591</v>
      </c>
      <c r="I61" s="156">
        <f t="shared" si="21"/>
        <v>0.30021476478649661</v>
      </c>
      <c r="J61" s="156">
        <f t="shared" si="21"/>
        <v>0.33073514546851163</v>
      </c>
      <c r="K61" s="156">
        <f t="shared" si="21"/>
        <v>0.34584461700550206</v>
      </c>
      <c r="L61" s="156">
        <f t="shared" si="21"/>
        <v>0.32553379919824504</v>
      </c>
      <c r="M61" s="684">
        <f t="shared" si="21"/>
        <v>0.3250379864429731</v>
      </c>
      <c r="N61" s="800">
        <f t="shared" si="21"/>
        <v>0.34288220141376868</v>
      </c>
      <c r="O61" s="809">
        <f t="shared" si="21"/>
        <v>0.3020268450842748</v>
      </c>
      <c r="P61" s="217">
        <f>-(P20-P21)/(P10+P11-P12)</f>
        <v>0.33498363905355821</v>
      </c>
    </row>
    <row r="62" spans="2:19" ht="24" customHeight="1" x14ac:dyDescent="0.25">
      <c r="B62" s="198" t="s">
        <v>373</v>
      </c>
      <c r="C62" s="200">
        <v>4.0239996268915338E-3</v>
      </c>
      <c r="D62" s="200">
        <v>7.700620884655284E-3</v>
      </c>
      <c r="E62" s="199">
        <v>5.220907568522266E-3</v>
      </c>
      <c r="F62" s="200">
        <v>2.7274824723784387E-3</v>
      </c>
      <c r="G62" s="200">
        <v>1.6941793684807174E-3</v>
      </c>
      <c r="H62" s="199">
        <v>2.1094436135327844E-3</v>
      </c>
      <c r="I62" s="199">
        <v>3.3198332769754715E-3</v>
      </c>
      <c r="J62" s="199">
        <v>1.5852349911984274E-3</v>
      </c>
      <c r="K62" s="199">
        <v>1.376717734810848E-3</v>
      </c>
      <c r="L62" s="199">
        <v>4.7670280883667969E-3</v>
      </c>
      <c r="M62" s="685">
        <v>4.7795240867383433E-3</v>
      </c>
      <c r="N62" s="801">
        <v>3.0832596089883967E-3</v>
      </c>
      <c r="O62" s="810">
        <v>2.0800190028082192E-3</v>
      </c>
      <c r="P62" s="218">
        <v>3.4419439699720235E-3</v>
      </c>
    </row>
    <row r="63" spans="2:19" ht="24" customHeight="1" x14ac:dyDescent="0.25">
      <c r="B63" s="146" t="s">
        <v>374</v>
      </c>
      <c r="C63" s="163">
        <v>8.4178368179442173E-3</v>
      </c>
      <c r="D63" s="163">
        <v>1.1414616830149922E-2</v>
      </c>
      <c r="E63" s="161">
        <v>8.3791619210455224E-3</v>
      </c>
      <c r="F63" s="163">
        <v>5.7871639230150131E-3</v>
      </c>
      <c r="G63" s="163">
        <v>5.0896781987412026E-3</v>
      </c>
      <c r="H63" s="161">
        <v>4.595459772637818E-3</v>
      </c>
      <c r="I63" s="161">
        <v>5.4063996603971988E-3</v>
      </c>
      <c r="J63" s="161">
        <v>4.1043913004892912E-3</v>
      </c>
      <c r="K63" s="161">
        <v>3.409871455100303E-3</v>
      </c>
      <c r="L63" s="161">
        <v>6.6031770534387517E-3</v>
      </c>
      <c r="M63" s="686">
        <v>6.3161555840491766E-3</v>
      </c>
      <c r="N63" s="819">
        <v>5.0525931178362973E-3</v>
      </c>
      <c r="O63" s="811">
        <v>4.5752646759431017E-3</v>
      </c>
      <c r="P63" s="219">
        <v>5.2448460756759673E-3</v>
      </c>
    </row>
    <row r="64" spans="2:19" ht="24" customHeight="1" x14ac:dyDescent="0.25">
      <c r="B64" s="146" t="s">
        <v>673</v>
      </c>
      <c r="C64" s="152">
        <f>'Capital adequacy'!C17</f>
        <v>0.12160683641678371</v>
      </c>
      <c r="D64" s="153">
        <f>'Capital adequacy'!D17</f>
        <v>0.12227581579362637</v>
      </c>
      <c r="E64" s="152">
        <f>'Capital adequacy'!E17</f>
        <v>0.12775956030675054</v>
      </c>
      <c r="F64" s="153">
        <f>'Capital adequacy'!F17</f>
        <v>0.13205342659148606</v>
      </c>
      <c r="G64" s="153">
        <f>'Capital adequacy'!G17</f>
        <v>0.13598498112337623</v>
      </c>
      <c r="H64" s="152">
        <f>'Capital adequacy'!G17</f>
        <v>0.13598498112337623</v>
      </c>
      <c r="I64" s="152">
        <f>'Capital adequacy'!I17</f>
        <v>0.14668014753776559</v>
      </c>
      <c r="J64" s="152">
        <f>'Capital adequacy'!J17</f>
        <v>0.14474597421804952</v>
      </c>
      <c r="K64" s="152">
        <f>'Capital adequacy'!K17</f>
        <v>0.14203926606529449</v>
      </c>
      <c r="L64" s="152">
        <f>'Capital adequacy'!M17</f>
        <v>0.14432455650869397</v>
      </c>
      <c r="M64" s="680">
        <f>'Capital adequacy'!M17</f>
        <v>0.14432455650869397</v>
      </c>
      <c r="N64" s="770">
        <f>'Capital adequacy'!N17</f>
        <v>0.12704501398399901</v>
      </c>
      <c r="O64" s="804">
        <f>J64</f>
        <v>0.14474597421804952</v>
      </c>
      <c r="P64" s="214">
        <f>N64</f>
        <v>0.12704501398399901</v>
      </c>
      <c r="R64" s="721"/>
    </row>
    <row r="65" spans="2:18" s="131" customFormat="1" ht="24" customHeight="1" x14ac:dyDescent="0.25">
      <c r="B65" s="168" t="s">
        <v>674</v>
      </c>
      <c r="C65" s="169">
        <f>'Capital adequacy'!C18</f>
        <v>0.16966286420852666</v>
      </c>
      <c r="D65" s="169">
        <f>'Capital adequacy'!D18</f>
        <v>0.16954206844161704</v>
      </c>
      <c r="E65" s="170">
        <f>'Capital adequacy'!E18</f>
        <v>0.17421559274927942</v>
      </c>
      <c r="F65" s="169">
        <f>'Capital adequacy'!F18</f>
        <v>0.17768588311730774</v>
      </c>
      <c r="G65" s="169">
        <f>'Capital adequacy'!G18</f>
        <v>0.18411040756238964</v>
      </c>
      <c r="H65" s="170">
        <f>'Capital adequacy'!H18</f>
        <v>0.18560019473013317</v>
      </c>
      <c r="I65" s="170">
        <f>'Capital adequacy'!I18</f>
        <v>0.1987311370219155</v>
      </c>
      <c r="J65" s="170">
        <f>'Capital adequacy'!J18</f>
        <v>0.19672746117570378</v>
      </c>
      <c r="K65" s="170">
        <f>'Capital adequacy'!K18</f>
        <v>0.19205741894043063</v>
      </c>
      <c r="L65" s="170">
        <f>'Capital adequacy'!M18</f>
        <v>0.20323735245146224</v>
      </c>
      <c r="M65" s="687">
        <f>'Capital adequacy'!M18</f>
        <v>0.20323735245146224</v>
      </c>
      <c r="N65" s="893">
        <f>'Capital adequacy'!N18</f>
        <v>0.18741681704426916</v>
      </c>
      <c r="O65" s="812">
        <f>J65</f>
        <v>0.19672746117570378</v>
      </c>
      <c r="P65" s="220">
        <f>N65</f>
        <v>0.18741681704426916</v>
      </c>
      <c r="R65" s="721"/>
    </row>
    <row r="66" spans="2:18" ht="15.75" customHeight="1" x14ac:dyDescent="0.25">
      <c r="B66" s="1043"/>
      <c r="C66" s="1043"/>
      <c r="D66" s="1043"/>
      <c r="E66" s="132"/>
      <c r="F66" s="132"/>
      <c r="G66" s="132"/>
      <c r="H66" s="132"/>
      <c r="I66" s="132"/>
      <c r="J66" s="132"/>
      <c r="K66" s="132"/>
      <c r="L66" s="132"/>
      <c r="M66" s="132"/>
      <c r="N66" s="132"/>
      <c r="O66" s="132"/>
      <c r="P66" s="132"/>
    </row>
    <row r="67" spans="2:18" ht="24" customHeight="1" x14ac:dyDescent="0.25">
      <c r="B67" s="1045" t="s">
        <v>678</v>
      </c>
      <c r="C67" s="1045"/>
      <c r="D67" s="996"/>
      <c r="E67" s="996"/>
      <c r="F67" s="996"/>
      <c r="G67" s="996"/>
      <c r="H67" s="996"/>
      <c r="I67" s="996"/>
      <c r="J67" s="996"/>
      <c r="K67" s="996"/>
      <c r="L67" s="996"/>
      <c r="M67" s="996"/>
      <c r="N67" s="996"/>
      <c r="O67" s="996"/>
      <c r="P67" s="996"/>
    </row>
    <row r="68" spans="2:18" ht="24" customHeight="1" x14ac:dyDescent="0.25">
      <c r="B68" s="997"/>
      <c r="C68" s="996"/>
      <c r="D68" s="996"/>
      <c r="E68" s="996"/>
      <c r="F68" s="996"/>
      <c r="G68" s="996"/>
      <c r="H68" s="996"/>
      <c r="I68" s="996"/>
      <c r="J68" s="996"/>
      <c r="K68" s="996"/>
      <c r="L68" s="996"/>
      <c r="M68" s="996"/>
      <c r="N68" s="996"/>
      <c r="O68" s="996"/>
      <c r="P68" s="996"/>
    </row>
    <row r="69" spans="2:18" ht="24" customHeight="1" x14ac:dyDescent="0.25">
      <c r="B69" s="997"/>
      <c r="C69" s="328"/>
      <c r="D69" s="328"/>
      <c r="E69" s="328"/>
      <c r="F69" s="328"/>
      <c r="G69" s="328"/>
      <c r="H69" s="328"/>
      <c r="I69" s="328"/>
      <c r="J69" s="328"/>
      <c r="K69" s="328"/>
      <c r="L69" s="328"/>
      <c r="M69" s="328"/>
      <c r="N69" s="328"/>
      <c r="O69" s="328"/>
      <c r="P69" s="328"/>
    </row>
    <row r="70" spans="2:18" ht="24" customHeight="1" x14ac:dyDescent="0.25">
      <c r="B70" s="1045"/>
      <c r="C70" s="1045"/>
      <c r="D70" s="1045"/>
      <c r="E70" s="1045"/>
      <c r="F70" s="1045"/>
      <c r="G70" s="1045"/>
      <c r="H70" s="1045"/>
      <c r="I70" s="1045"/>
      <c r="J70" s="1045"/>
      <c r="K70" s="1045"/>
      <c r="L70" s="1045"/>
      <c r="M70" s="1045"/>
      <c r="N70" s="1045"/>
      <c r="O70" s="1045"/>
      <c r="P70" s="1045"/>
    </row>
    <row r="71" spans="2:18" ht="24" customHeight="1" x14ac:dyDescent="0.25">
      <c r="B71" s="997"/>
      <c r="C71" s="998"/>
      <c r="D71" s="998"/>
      <c r="E71" s="998"/>
      <c r="F71" s="998"/>
      <c r="G71" s="998"/>
      <c r="H71" s="998"/>
      <c r="I71" s="998"/>
      <c r="J71" s="998"/>
      <c r="K71" s="998"/>
      <c r="L71" s="998"/>
      <c r="M71" s="998"/>
      <c r="N71" s="998"/>
      <c r="O71" s="998"/>
      <c r="P71" s="998"/>
    </row>
    <row r="72" spans="2:18" ht="24" customHeight="1" x14ac:dyDescent="0.25">
      <c r="B72" s="1045"/>
      <c r="C72" s="1045"/>
      <c r="D72" s="1045"/>
      <c r="E72" s="1045"/>
      <c r="F72" s="1045"/>
      <c r="G72" s="1045"/>
      <c r="H72" s="1045"/>
      <c r="I72" s="1045"/>
      <c r="J72" s="1045"/>
      <c r="K72" s="1045"/>
      <c r="L72" s="1045"/>
      <c r="M72" s="1045"/>
      <c r="N72" s="1045"/>
      <c r="O72" s="1045"/>
      <c r="P72" s="1045"/>
    </row>
  </sheetData>
  <mergeCells count="5">
    <mergeCell ref="B66:D66"/>
    <mergeCell ref="B5:P5"/>
    <mergeCell ref="B70:P70"/>
    <mergeCell ref="B72:P72"/>
    <mergeCell ref="B67:C67"/>
  </mergeCells>
  <phoneticPr fontId="112" type="noConversion"/>
  <hyperlinks>
    <hyperlink ref="P2" location="'Cover '!A1" display="Back to Cover" xr:uid="{18E92BD3-11E2-457C-846A-4EB89AC459B6}"/>
  </hyperlinks>
  <printOptions horizontalCentered="1" verticalCentered="1"/>
  <pageMargins left="0" right="0" top="0" bottom="0" header="0" footer="0"/>
  <pageSetup paperSize="8" scale="43" orientation="portrait" r:id="rId1"/>
  <headerFooter alignWithMargins="0"/>
  <ignoredErrors>
    <ignoredError sqref="O54" formula="1"/>
  </ignoredErrors>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92DD7F-FF08-46C8-AB31-D1A159C6B2D2}">
  <sheetPr codeName="Foglio10">
    <pageSetUpPr fitToPage="1"/>
  </sheetPr>
  <dimension ref="A1:N24"/>
  <sheetViews>
    <sheetView showGridLines="0" view="pageBreakPreview" zoomScale="85" zoomScaleNormal="85" zoomScaleSheetLayoutView="85" workbookViewId="0">
      <selection activeCell="B5" sqref="B5:I5"/>
    </sheetView>
  </sheetViews>
  <sheetFormatPr defaultColWidth="9.109375" defaultRowHeight="15" customHeight="1" x14ac:dyDescent="0.2"/>
  <cols>
    <col min="1" max="1" width="2.44140625" style="20" customWidth="1"/>
    <col min="2" max="2" width="35.33203125" style="20" customWidth="1"/>
    <col min="3" max="3" width="32" style="22" customWidth="1"/>
    <col min="4" max="4" width="28.6640625" style="22" customWidth="1"/>
    <col min="5" max="8" width="28.6640625" style="98" customWidth="1"/>
    <col min="9" max="9" width="28.6640625" style="22" customWidth="1"/>
    <col min="10" max="10" width="2.44140625" style="20" customWidth="1"/>
    <col min="11" max="16384" width="9.109375" style="20"/>
  </cols>
  <sheetData>
    <row r="1" spans="1:14" s="23" customFormat="1" ht="15.75" customHeight="1" x14ac:dyDescent="0.4">
      <c r="B1" s="497"/>
      <c r="C1" s="497"/>
      <c r="D1" s="497"/>
      <c r="E1" s="588"/>
      <c r="F1" s="588"/>
      <c r="G1" s="588"/>
      <c r="H1" s="588"/>
      <c r="I1" s="497"/>
    </row>
    <row r="2" spans="1:14" s="23" customFormat="1" ht="15.75" customHeight="1" x14ac:dyDescent="0.4">
      <c r="B2" s="497"/>
      <c r="C2" s="522"/>
      <c r="D2" s="522"/>
      <c r="E2" s="589"/>
      <c r="F2" s="589"/>
      <c r="G2" s="589"/>
      <c r="H2" s="589"/>
      <c r="I2" s="498" t="s">
        <v>18</v>
      </c>
    </row>
    <row r="3" spans="1:14" s="23" customFormat="1" ht="15.75" customHeight="1" x14ac:dyDescent="0.4">
      <c r="B3" s="497"/>
      <c r="C3" s="497"/>
      <c r="D3" s="497"/>
      <c r="E3" s="588"/>
      <c r="F3" s="588"/>
      <c r="G3" s="588"/>
      <c r="H3" s="588"/>
      <c r="I3" s="497"/>
    </row>
    <row r="4" spans="1:14" s="24" customFormat="1" ht="15.75" customHeight="1" x14ac:dyDescent="0.35">
      <c r="B4" s="499"/>
      <c r="C4" s="499"/>
      <c r="D4" s="499"/>
      <c r="E4" s="590"/>
      <c r="F4" s="590"/>
      <c r="G4" s="590"/>
      <c r="H4" s="590"/>
      <c r="I4" s="499"/>
    </row>
    <row r="5" spans="1:14" ht="27.6" x14ac:dyDescent="0.2">
      <c r="A5" s="16"/>
      <c r="B5" s="1044" t="s">
        <v>442</v>
      </c>
      <c r="C5" s="1044"/>
      <c r="D5" s="1044"/>
      <c r="E5" s="1044"/>
      <c r="F5" s="1044"/>
      <c r="G5" s="1044"/>
      <c r="H5" s="1044"/>
      <c r="I5" s="1044"/>
    </row>
    <row r="6" spans="1:14" ht="9" customHeight="1" x14ac:dyDescent="0.2">
      <c r="A6" s="16"/>
      <c r="B6" s="119"/>
      <c r="C6" s="119"/>
      <c r="D6" s="119"/>
      <c r="E6" s="119"/>
      <c r="F6" s="119"/>
      <c r="G6" s="119"/>
      <c r="H6" s="119"/>
      <c r="I6" s="119"/>
    </row>
    <row r="7" spans="1:14" ht="11.25" customHeight="1" x14ac:dyDescent="0.2">
      <c r="A7" s="18"/>
      <c r="B7" s="454"/>
      <c r="C7" s="454"/>
      <c r="D7" s="454"/>
      <c r="E7" s="454"/>
      <c r="F7" s="454"/>
      <c r="G7" s="454"/>
      <c r="H7" s="454"/>
      <c r="I7" s="454"/>
    </row>
    <row r="8" spans="1:14" s="23" customFormat="1" ht="11.25" customHeight="1" x14ac:dyDescent="0.4">
      <c r="B8" s="497"/>
      <c r="C8" s="500"/>
      <c r="D8" s="500"/>
      <c r="E8" s="500"/>
      <c r="F8" s="500"/>
      <c r="G8" s="500"/>
      <c r="H8" s="500"/>
      <c r="I8" s="500"/>
    </row>
    <row r="9" spans="1:14" s="23" customFormat="1" ht="45.75" customHeight="1" x14ac:dyDescent="0.35">
      <c r="B9" s="766" t="s">
        <v>430</v>
      </c>
      <c r="C9" s="508" t="s">
        <v>426</v>
      </c>
      <c r="D9" s="508" t="s">
        <v>427</v>
      </c>
      <c r="E9" s="508" t="s">
        <v>436</v>
      </c>
      <c r="F9" s="508" t="s">
        <v>437</v>
      </c>
      <c r="G9" s="508" t="s">
        <v>604</v>
      </c>
      <c r="H9" s="508" t="s">
        <v>605</v>
      </c>
      <c r="I9" s="509" t="s">
        <v>425</v>
      </c>
      <c r="N9" s="64"/>
    </row>
    <row r="10" spans="1:14" s="23" customFormat="1" ht="32.25" customHeight="1" x14ac:dyDescent="0.3">
      <c r="B10" s="728"/>
      <c r="C10" s="726"/>
      <c r="D10" s="726"/>
      <c r="E10" s="726"/>
      <c r="F10" s="726"/>
      <c r="G10" s="726"/>
      <c r="H10" s="726"/>
      <c r="I10" s="727"/>
      <c r="N10" s="64"/>
    </row>
    <row r="11" spans="1:14" s="25" customFormat="1" ht="40.950000000000003" customHeight="1" x14ac:dyDescent="0.3">
      <c r="B11" s="760" t="s">
        <v>422</v>
      </c>
      <c r="C11" s="768">
        <v>44285</v>
      </c>
      <c r="D11" s="762" t="s">
        <v>438</v>
      </c>
      <c r="E11" s="762">
        <v>1391</v>
      </c>
      <c r="F11" s="762">
        <v>792</v>
      </c>
      <c r="G11" s="762">
        <f>232/0.95</f>
        <v>244.21052631578948</v>
      </c>
      <c r="H11" s="762">
        <v>109</v>
      </c>
      <c r="I11" s="763" t="s">
        <v>428</v>
      </c>
      <c r="N11" s="65"/>
    </row>
    <row r="12" spans="1:14" s="25" customFormat="1" ht="40.950000000000003" customHeight="1" x14ac:dyDescent="0.3">
      <c r="B12" s="760" t="s">
        <v>423</v>
      </c>
      <c r="C12" s="768">
        <v>44420</v>
      </c>
      <c r="D12" s="762" t="s">
        <v>438</v>
      </c>
      <c r="E12" s="764">
        <v>1110</v>
      </c>
      <c r="F12" s="764">
        <v>522</v>
      </c>
      <c r="G12" s="764">
        <f>289/0.95</f>
        <v>304.21052631578948</v>
      </c>
      <c r="H12" s="764">
        <v>118</v>
      </c>
      <c r="I12" s="765" t="s">
        <v>428</v>
      </c>
      <c r="N12" s="65"/>
    </row>
    <row r="13" spans="1:14" s="25" customFormat="1" ht="40.950000000000003" customHeight="1" x14ac:dyDescent="0.3">
      <c r="B13" s="760" t="s">
        <v>439</v>
      </c>
      <c r="C13" s="768">
        <v>44727</v>
      </c>
      <c r="D13" s="761" t="s">
        <v>440</v>
      </c>
      <c r="E13" s="764">
        <v>603</v>
      </c>
      <c r="F13" s="764">
        <v>392</v>
      </c>
      <c r="G13" s="764" t="s">
        <v>606</v>
      </c>
      <c r="H13" s="764" t="s">
        <v>606</v>
      </c>
      <c r="I13" s="765" t="s">
        <v>428</v>
      </c>
      <c r="N13" s="65"/>
    </row>
    <row r="14" spans="1:14" s="25" customFormat="1" ht="40.950000000000003" customHeight="1" x14ac:dyDescent="0.3">
      <c r="B14" s="760" t="s">
        <v>441</v>
      </c>
      <c r="C14" s="768">
        <v>44750</v>
      </c>
      <c r="D14" s="761" t="s">
        <v>385</v>
      </c>
      <c r="E14" s="764">
        <v>1498</v>
      </c>
      <c r="F14" s="764">
        <v>377</v>
      </c>
      <c r="G14" s="764" t="s">
        <v>606</v>
      </c>
      <c r="H14" s="764" t="s">
        <v>606</v>
      </c>
      <c r="I14" s="767" t="s">
        <v>431</v>
      </c>
      <c r="N14" s="65"/>
    </row>
    <row r="15" spans="1:14" s="25" customFormat="1" ht="40.950000000000003" customHeight="1" x14ac:dyDescent="0.3">
      <c r="B15" s="760" t="s">
        <v>424</v>
      </c>
      <c r="C15" s="768">
        <v>44865</v>
      </c>
      <c r="D15" s="761" t="s">
        <v>438</v>
      </c>
      <c r="E15" s="764">
        <v>541</v>
      </c>
      <c r="F15" s="764">
        <v>246</v>
      </c>
      <c r="G15" s="764" t="s">
        <v>606</v>
      </c>
      <c r="H15" s="764" t="s">
        <v>606</v>
      </c>
      <c r="I15" s="765" t="s">
        <v>429</v>
      </c>
      <c r="N15" s="65"/>
    </row>
    <row r="16" spans="1:14" s="25" customFormat="1" ht="40.950000000000003" customHeight="1" x14ac:dyDescent="0.3">
      <c r="B16" s="760" t="s">
        <v>433</v>
      </c>
      <c r="C16" s="768">
        <v>44915</v>
      </c>
      <c r="D16" s="761" t="s">
        <v>438</v>
      </c>
      <c r="E16" s="764">
        <v>1412</v>
      </c>
      <c r="F16" s="764">
        <v>738</v>
      </c>
      <c r="G16" s="764">
        <f>687/0.95</f>
        <v>723.1578947368422</v>
      </c>
      <c r="H16" s="764">
        <v>275</v>
      </c>
      <c r="I16" s="765" t="s">
        <v>434</v>
      </c>
      <c r="N16" s="65"/>
    </row>
    <row r="17" spans="2:14" s="25" customFormat="1" ht="40.950000000000003" customHeight="1" x14ac:dyDescent="0.3">
      <c r="B17" s="760" t="s">
        <v>432</v>
      </c>
      <c r="C17" s="768">
        <v>45644</v>
      </c>
      <c r="D17" s="761" t="s">
        <v>438</v>
      </c>
      <c r="E17" s="764">
        <v>2084</v>
      </c>
      <c r="F17" s="764">
        <v>1008</v>
      </c>
      <c r="G17" s="764">
        <f>1839/0.95</f>
        <v>1935.7894736842106</v>
      </c>
      <c r="H17" s="764">
        <v>974</v>
      </c>
      <c r="I17" s="765" t="s">
        <v>435</v>
      </c>
      <c r="N17" s="65"/>
    </row>
    <row r="18" spans="2:14" s="25" customFormat="1" ht="41.4" customHeight="1" x14ac:dyDescent="0.3">
      <c r="B18" s="1013" t="s">
        <v>607</v>
      </c>
      <c r="C18" s="1014">
        <v>46010</v>
      </c>
      <c r="D18" s="1015" t="s">
        <v>438</v>
      </c>
      <c r="E18" s="1016">
        <v>2088</v>
      </c>
      <c r="F18" s="1016">
        <v>998</v>
      </c>
      <c r="G18" s="1016">
        <f>1979/0.95</f>
        <v>2083.1578947368421</v>
      </c>
      <c r="H18" s="1016">
        <v>963</v>
      </c>
      <c r="I18" s="1017" t="s">
        <v>608</v>
      </c>
      <c r="N18" s="65"/>
    </row>
    <row r="19" spans="2:14" s="26" customFormat="1" ht="16.2" customHeight="1" x14ac:dyDescent="0.4">
      <c r="B19" s="549"/>
      <c r="C19" s="528"/>
      <c r="D19" s="528"/>
      <c r="E19" s="594"/>
      <c r="F19" s="594"/>
      <c r="G19" s="594"/>
      <c r="H19" s="594"/>
      <c r="I19" s="528"/>
    </row>
    <row r="20" spans="2:14" s="26" customFormat="1" ht="22.5" customHeight="1" x14ac:dyDescent="0.35">
      <c r="B20" s="1062"/>
      <c r="C20" s="1061"/>
      <c r="D20" s="1061"/>
      <c r="E20" s="1061"/>
      <c r="F20" s="1061"/>
      <c r="G20" s="1061"/>
      <c r="H20" s="1061"/>
      <c r="I20" s="1061"/>
      <c r="J20" s="1061"/>
    </row>
    <row r="21" spans="2:14" s="19" customFormat="1" ht="15" customHeight="1" x14ac:dyDescent="0.25">
      <c r="B21" s="1063"/>
      <c r="C21" s="1063"/>
      <c r="D21" s="1063"/>
      <c r="E21" s="1063"/>
      <c r="F21" s="1063"/>
      <c r="G21" s="1063"/>
      <c r="H21" s="1063"/>
      <c r="I21" s="1063"/>
    </row>
    <row r="24" spans="2:14" ht="15" customHeight="1" x14ac:dyDescent="0.2">
      <c r="C24" s="67"/>
      <c r="D24" s="67"/>
      <c r="E24" s="97"/>
      <c r="F24" s="97"/>
      <c r="G24" s="97"/>
      <c r="H24" s="97"/>
      <c r="I24" s="67"/>
    </row>
  </sheetData>
  <mergeCells count="3">
    <mergeCell ref="B5:I5"/>
    <mergeCell ref="B20:J20"/>
    <mergeCell ref="B21:I21"/>
  </mergeCells>
  <hyperlinks>
    <hyperlink ref="I2" location="'Cover '!A1" display="Back to Cover" xr:uid="{5B0A15BA-5923-4377-B088-B0C19B6E4D47}"/>
  </hyperlinks>
  <printOptions horizontalCentered="1" verticalCentered="1"/>
  <pageMargins left="0" right="0" top="0" bottom="0" header="0" footer="0"/>
  <pageSetup paperSize="8" scale="85" orientation="landscape"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CD52BC-281C-49EE-A228-66A30337EB3E}">
  <sheetPr codeName="Foglio11">
    <pageSetUpPr fitToPage="1"/>
  </sheetPr>
  <dimension ref="A1:L32"/>
  <sheetViews>
    <sheetView showGridLines="0" view="pageBreakPreview" zoomScale="85" zoomScaleNormal="85" zoomScaleSheetLayoutView="85" workbookViewId="0">
      <selection activeCell="B5" sqref="B5:F5"/>
    </sheetView>
  </sheetViews>
  <sheetFormatPr defaultColWidth="9.109375" defaultRowHeight="15" customHeight="1" x14ac:dyDescent="0.3"/>
  <cols>
    <col min="1" max="1" width="2.44140625" style="865" customWidth="1"/>
    <col min="2" max="2" width="43.33203125" style="865" customWidth="1"/>
    <col min="3" max="4" width="23.6640625" style="873" customWidth="1"/>
    <col min="5" max="5" width="23.6640625" style="874" customWidth="1"/>
    <col min="6" max="6" width="23.6640625" style="873" customWidth="1"/>
    <col min="7" max="7" width="2.44140625" style="865" customWidth="1"/>
    <col min="8" max="11" width="9.109375" style="865"/>
    <col min="12" max="12" width="10.44140625" style="865" customWidth="1"/>
    <col min="13" max="16384" width="9.109375" style="865"/>
  </cols>
  <sheetData>
    <row r="1" spans="1:11" s="497" customFormat="1" ht="15.75" customHeight="1" x14ac:dyDescent="0.4">
      <c r="E1" s="588"/>
    </row>
    <row r="2" spans="1:11" s="497" customFormat="1" ht="15.75" customHeight="1" x14ac:dyDescent="0.4">
      <c r="C2" s="522"/>
      <c r="D2" s="522"/>
      <c r="E2" s="589"/>
      <c r="F2" s="498" t="s">
        <v>18</v>
      </c>
    </row>
    <row r="3" spans="1:11" s="497" customFormat="1" ht="15.75" customHeight="1" x14ac:dyDescent="0.4">
      <c r="E3" s="588"/>
    </row>
    <row r="4" spans="1:11" s="499" customFormat="1" ht="15.75" customHeight="1" x14ac:dyDescent="0.35">
      <c r="E4" s="590"/>
    </row>
    <row r="5" spans="1:11" ht="27.6" x14ac:dyDescent="0.3">
      <c r="A5" s="117"/>
      <c r="B5" s="1044" t="s">
        <v>487</v>
      </c>
      <c r="C5" s="1044"/>
      <c r="D5" s="1044"/>
      <c r="E5" s="1044"/>
      <c r="F5" s="1044"/>
    </row>
    <row r="6" spans="1:11" ht="9" customHeight="1" x14ac:dyDescent="0.3">
      <c r="A6" s="117"/>
      <c r="B6" s="119"/>
      <c r="C6" s="119"/>
      <c r="D6" s="119"/>
      <c r="E6" s="119"/>
      <c r="F6" s="119"/>
    </row>
    <row r="7" spans="1:11" ht="11.25" customHeight="1" x14ac:dyDescent="0.3">
      <c r="A7" s="119"/>
      <c r="B7" s="454"/>
      <c r="C7" s="454"/>
      <c r="D7" s="454"/>
      <c r="E7" s="454"/>
      <c r="F7" s="454"/>
    </row>
    <row r="8" spans="1:11" ht="49.35" customHeight="1" x14ac:dyDescent="0.3">
      <c r="A8" s="119"/>
      <c r="B8" s="1066" t="s">
        <v>659</v>
      </c>
      <c r="C8" s="1067"/>
      <c r="D8" s="1067"/>
      <c r="E8" s="1067"/>
      <c r="F8" s="1067"/>
    </row>
    <row r="9" spans="1:11" s="497" customFormat="1" ht="11.25" customHeight="1" x14ac:dyDescent="0.4">
      <c r="C9" s="500"/>
      <c r="D9" s="500"/>
      <c r="E9" s="500"/>
      <c r="F9" s="500"/>
    </row>
    <row r="10" spans="1:11" s="497" customFormat="1" ht="45.75" customHeight="1" x14ac:dyDescent="0.4">
      <c r="B10" s="766"/>
      <c r="C10" s="838">
        <v>2023</v>
      </c>
      <c r="D10" s="838">
        <v>2024</v>
      </c>
      <c r="E10" s="508" t="s">
        <v>456</v>
      </c>
      <c r="F10" s="509" t="s">
        <v>488</v>
      </c>
      <c r="K10" s="866"/>
    </row>
    <row r="11" spans="1:11" s="497" customFormat="1" ht="24.75" customHeight="1" x14ac:dyDescent="0.4">
      <c r="B11" s="728"/>
      <c r="C11" s="726"/>
      <c r="D11" s="726"/>
      <c r="E11" s="726"/>
      <c r="F11" s="727"/>
      <c r="K11" s="866"/>
    </row>
    <row r="12" spans="1:11" s="867" customFormat="1" ht="27.6" customHeight="1" x14ac:dyDescent="0.4">
      <c r="B12" s="883" t="s">
        <v>489</v>
      </c>
      <c r="C12" s="842" t="s">
        <v>143</v>
      </c>
      <c r="D12" s="852">
        <v>79</v>
      </c>
      <c r="E12" s="852">
        <v>373</v>
      </c>
      <c r="F12" s="843" t="s">
        <v>143</v>
      </c>
      <c r="K12" s="868"/>
    </row>
    <row r="13" spans="1:11" s="867" customFormat="1" ht="27.6" customHeight="1" x14ac:dyDescent="0.4">
      <c r="B13" s="884" t="s">
        <v>524</v>
      </c>
      <c r="C13" s="844" t="s">
        <v>143</v>
      </c>
      <c r="D13" s="845">
        <v>0</v>
      </c>
      <c r="E13" s="846">
        <v>0</v>
      </c>
      <c r="F13" s="847">
        <v>100</v>
      </c>
      <c r="K13" s="868"/>
    </row>
    <row r="14" spans="1:11" s="867" customFormat="1" ht="27.6" customHeight="1" x14ac:dyDescent="0.4">
      <c r="B14" s="885" t="s">
        <v>74</v>
      </c>
      <c r="C14" s="839" t="s">
        <v>143</v>
      </c>
      <c r="D14" s="840">
        <f>D12+D13</f>
        <v>79</v>
      </c>
      <c r="E14" s="840">
        <v>373</v>
      </c>
      <c r="F14" s="841">
        <v>100</v>
      </c>
      <c r="K14" s="868"/>
    </row>
    <row r="15" spans="1:11" s="867" customFormat="1" ht="27.6" customHeight="1" x14ac:dyDescent="0.4">
      <c r="B15" s="885" t="s">
        <v>490</v>
      </c>
      <c r="C15" s="853">
        <v>788.06500000000005</v>
      </c>
      <c r="D15" s="853">
        <v>1065.87443773</v>
      </c>
      <c r="E15" s="854">
        <v>559.22900000000016</v>
      </c>
      <c r="F15" s="841" t="s">
        <v>143</v>
      </c>
      <c r="K15" s="868"/>
    </row>
    <row r="16" spans="1:11" s="867" customFormat="1" ht="27.6" customHeight="1" x14ac:dyDescent="0.4">
      <c r="B16" s="886" t="s">
        <v>491</v>
      </c>
      <c r="C16" s="295">
        <v>1245.122198</v>
      </c>
      <c r="D16" s="295">
        <v>1246.037681</v>
      </c>
      <c r="E16" s="295">
        <v>1247.5754119999999</v>
      </c>
      <c r="F16" s="767" t="s">
        <v>143</v>
      </c>
      <c r="K16" s="868"/>
    </row>
    <row r="17" spans="2:12" s="867" customFormat="1" ht="27.6" customHeight="1" x14ac:dyDescent="0.4">
      <c r="B17" s="885" t="s">
        <v>505</v>
      </c>
      <c r="C17" s="853">
        <v>4001.1751136000003</v>
      </c>
      <c r="D17" s="853">
        <v>4813.9138085499999</v>
      </c>
      <c r="E17" s="848">
        <v>7354.6600056859997</v>
      </c>
      <c r="F17" s="841">
        <v>8397</v>
      </c>
      <c r="K17" s="869"/>
    </row>
    <row r="18" spans="2:12" s="867" customFormat="1" ht="27.6" customHeight="1" x14ac:dyDescent="0.4">
      <c r="B18" s="887" t="s">
        <v>506</v>
      </c>
      <c r="C18" s="842" t="s">
        <v>143</v>
      </c>
      <c r="D18" s="855">
        <f>D14/C15</f>
        <v>0.10024553812185542</v>
      </c>
      <c r="E18" s="855">
        <f>E14/D15</f>
        <v>0.3499474110612697</v>
      </c>
      <c r="F18" s="889">
        <v>0.1</v>
      </c>
      <c r="K18" s="868"/>
    </row>
    <row r="19" spans="2:12" s="867" customFormat="1" ht="27.6" customHeight="1" x14ac:dyDescent="0.4">
      <c r="B19" s="883" t="s">
        <v>507</v>
      </c>
      <c r="C19" s="842" t="s">
        <v>143</v>
      </c>
      <c r="D19" s="875">
        <f>D14/C16</f>
        <v>6.3447587816597581E-2</v>
      </c>
      <c r="E19" s="876">
        <f>E14/D16</f>
        <v>0.29934889264396169</v>
      </c>
      <c r="F19" s="849" t="s">
        <v>143</v>
      </c>
      <c r="K19" s="868"/>
      <c r="L19" s="870"/>
    </row>
    <row r="20" spans="2:12" s="867" customFormat="1" ht="27.6" customHeight="1" x14ac:dyDescent="0.4">
      <c r="B20" s="888" t="s">
        <v>508</v>
      </c>
      <c r="C20" s="850" t="s">
        <v>143</v>
      </c>
      <c r="D20" s="856">
        <f>D14/C17</f>
        <v>1.9744199580637917E-2</v>
      </c>
      <c r="E20" s="856">
        <f>E14/D17</f>
        <v>7.7483730460132905E-2</v>
      </c>
      <c r="F20" s="851" t="s">
        <v>143</v>
      </c>
      <c r="K20" s="868"/>
    </row>
    <row r="21" spans="2:12" s="502" customFormat="1" ht="11.25" customHeight="1" x14ac:dyDescent="0.4">
      <c r="B21" s="549"/>
      <c r="C21" s="528"/>
      <c r="D21" s="528"/>
      <c r="E21" s="594"/>
      <c r="F21" s="528"/>
    </row>
    <row r="22" spans="2:12" s="502" customFormat="1" ht="25.2" customHeight="1" x14ac:dyDescent="0.4">
      <c r="B22" s="1068" t="s">
        <v>691</v>
      </c>
      <c r="C22" s="1068"/>
      <c r="D22" s="1068"/>
      <c r="E22" s="1068"/>
      <c r="F22" s="1068"/>
      <c r="G22" s="596"/>
    </row>
    <row r="23" spans="2:12" s="502" customFormat="1" ht="16.2" customHeight="1" x14ac:dyDescent="0.4">
      <c r="B23" s="1062"/>
      <c r="C23" s="1061"/>
      <c r="D23" s="1061"/>
      <c r="E23" s="1061"/>
      <c r="F23" s="1061"/>
      <c r="G23" s="1061"/>
    </row>
    <row r="24" spans="2:12" s="502" customFormat="1" ht="48" customHeight="1" x14ac:dyDescent="0.4">
      <c r="B24" s="1065" t="s">
        <v>658</v>
      </c>
      <c r="C24" s="1062"/>
      <c r="D24" s="1062"/>
      <c r="E24" s="1062"/>
      <c r="F24" s="1062"/>
      <c r="G24" s="596"/>
    </row>
    <row r="25" spans="2:12" s="502" customFormat="1" ht="25.2" customHeight="1" x14ac:dyDescent="0.4">
      <c r="B25" s="1062" t="s">
        <v>509</v>
      </c>
      <c r="C25" s="1062"/>
      <c r="D25" s="1062"/>
      <c r="E25" s="1062"/>
      <c r="F25" s="1062"/>
      <c r="G25" s="596"/>
    </row>
    <row r="26" spans="2:12" s="502" customFormat="1" ht="25.2" customHeight="1" x14ac:dyDescent="0.4">
      <c r="B26" s="1062" t="s">
        <v>533</v>
      </c>
      <c r="C26" s="1062"/>
      <c r="D26" s="1062"/>
      <c r="E26" s="1062"/>
      <c r="F26" s="1062"/>
      <c r="G26" s="596"/>
    </row>
    <row r="27" spans="2:12" s="502" customFormat="1" ht="25.2" customHeight="1" x14ac:dyDescent="0.4">
      <c r="B27" s="1062" t="s">
        <v>552</v>
      </c>
      <c r="C27" s="1062"/>
      <c r="D27" s="1062"/>
      <c r="E27" s="1062"/>
      <c r="F27" s="1062"/>
      <c r="G27" s="596"/>
    </row>
    <row r="28" spans="2:12" s="502" customFormat="1" ht="25.2" customHeight="1" x14ac:dyDescent="0.4">
      <c r="B28" s="1062" t="s">
        <v>510</v>
      </c>
      <c r="C28" s="1062"/>
      <c r="D28" s="1062"/>
      <c r="E28" s="1062"/>
      <c r="F28" s="1062"/>
      <c r="G28" s="596"/>
    </row>
    <row r="29" spans="2:12" s="125" customFormat="1" ht="22.5" customHeight="1" x14ac:dyDescent="0.25">
      <c r="B29" s="1059"/>
      <c r="C29" s="1059"/>
      <c r="D29" s="1059"/>
      <c r="E29" s="1059"/>
      <c r="F29" s="1059"/>
    </row>
    <row r="32" spans="2:12" ht="15" customHeight="1" x14ac:dyDescent="0.3">
      <c r="C32" s="871"/>
      <c r="D32" s="871"/>
      <c r="E32" s="872"/>
      <c r="F32" s="871"/>
    </row>
  </sheetData>
  <mergeCells count="10">
    <mergeCell ref="B5:F5"/>
    <mergeCell ref="B23:G23"/>
    <mergeCell ref="B29:F29"/>
    <mergeCell ref="B24:F24"/>
    <mergeCell ref="B8:F8"/>
    <mergeCell ref="B25:F25"/>
    <mergeCell ref="B26:F26"/>
    <mergeCell ref="B27:F27"/>
    <mergeCell ref="B28:F28"/>
    <mergeCell ref="B22:F22"/>
  </mergeCells>
  <hyperlinks>
    <hyperlink ref="F2" location="'Cover '!A1" display="Back to Cover" xr:uid="{90007F92-653B-46BD-BE79-1EED5BA21710}"/>
  </hyperlinks>
  <printOptions horizontalCentered="1" verticalCentered="1"/>
  <pageMargins left="0" right="0" top="0" bottom="0" header="0" footer="0"/>
  <pageSetup paperSize="8" orientation="landscape" r:id="rId1"/>
  <headerFooter alignWithMargins="0"/>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461B58-C1E7-4C06-8A5D-C3CBCFF29E3B}">
  <sheetPr codeName="Foglio12">
    <pageSetUpPr fitToPage="1"/>
  </sheetPr>
  <dimension ref="A1:M28"/>
  <sheetViews>
    <sheetView showGridLines="0" view="pageBreakPreview" zoomScale="85" zoomScaleNormal="85" zoomScaleSheetLayoutView="85" workbookViewId="0">
      <selection activeCell="B5" sqref="B5:H5"/>
    </sheetView>
  </sheetViews>
  <sheetFormatPr defaultColWidth="9.109375" defaultRowHeight="15" customHeight="1" x14ac:dyDescent="0.2"/>
  <cols>
    <col min="1" max="1" width="2.44140625" style="20" customWidth="1"/>
    <col min="2" max="2" width="54.6640625" style="20" customWidth="1"/>
    <col min="3" max="4" width="20.109375" style="22" customWidth="1"/>
    <col min="5" max="7" width="20.109375" style="98" customWidth="1"/>
    <col min="8" max="8" width="20.109375" style="22" customWidth="1"/>
    <col min="9" max="9" width="2.44140625" style="20" customWidth="1"/>
    <col min="10" max="10" width="9.109375" style="20"/>
    <col min="11" max="11" width="14.88671875" style="20" bestFit="1" customWidth="1"/>
    <col min="12" max="13" width="9.109375" style="20"/>
    <col min="14" max="14" width="10.44140625" style="20" customWidth="1"/>
    <col min="15" max="16384" width="9.109375" style="20"/>
  </cols>
  <sheetData>
    <row r="1" spans="1:13" s="23" customFormat="1" ht="15.75" customHeight="1" x14ac:dyDescent="0.4">
      <c r="B1" s="497"/>
      <c r="C1" s="497"/>
      <c r="D1" s="497"/>
      <c r="E1" s="588"/>
      <c r="F1" s="588"/>
      <c r="G1" s="588"/>
      <c r="H1" s="497"/>
    </row>
    <row r="2" spans="1:13" s="23" customFormat="1" ht="15.75" customHeight="1" x14ac:dyDescent="0.4">
      <c r="B2" s="497"/>
      <c r="C2" s="522"/>
      <c r="D2" s="522"/>
      <c r="E2" s="589"/>
      <c r="F2" s="589"/>
      <c r="G2" s="589"/>
      <c r="H2" s="498" t="s">
        <v>18</v>
      </c>
    </row>
    <row r="3" spans="1:13" s="23" customFormat="1" ht="15.75" customHeight="1" x14ac:dyDescent="0.4">
      <c r="B3" s="497"/>
      <c r="C3" s="497"/>
      <c r="D3" s="497"/>
      <c r="E3" s="588"/>
      <c r="F3" s="588"/>
      <c r="G3" s="588"/>
      <c r="H3" s="497"/>
    </row>
    <row r="4" spans="1:13" s="24" customFormat="1" ht="15.75" customHeight="1" x14ac:dyDescent="0.35">
      <c r="B4" s="499"/>
      <c r="C4" s="499"/>
      <c r="D4" s="499"/>
      <c r="E4" s="590"/>
      <c r="F4" s="590"/>
      <c r="G4" s="590"/>
      <c r="H4" s="499"/>
    </row>
    <row r="5" spans="1:13" ht="27.6" x14ac:dyDescent="0.2">
      <c r="A5" s="16"/>
      <c r="B5" s="1044" t="s">
        <v>495</v>
      </c>
      <c r="C5" s="1044"/>
      <c r="D5" s="1044"/>
      <c r="E5" s="1044"/>
      <c r="F5" s="1044"/>
      <c r="G5" s="1044"/>
      <c r="H5" s="1044"/>
    </row>
    <row r="6" spans="1:13" ht="9" customHeight="1" x14ac:dyDescent="0.2">
      <c r="A6" s="16"/>
      <c r="B6" s="119"/>
      <c r="C6" s="119"/>
      <c r="D6" s="119"/>
      <c r="E6" s="119"/>
      <c r="F6" s="119"/>
      <c r="G6" s="119"/>
      <c r="H6" s="119"/>
    </row>
    <row r="7" spans="1:13" ht="11.25" customHeight="1" x14ac:dyDescent="0.2">
      <c r="A7" s="18"/>
      <c r="B7" s="454"/>
      <c r="C7" s="454"/>
      <c r="D7" s="454"/>
      <c r="E7" s="454"/>
      <c r="F7" s="454"/>
      <c r="G7" s="454"/>
      <c r="H7" s="454"/>
    </row>
    <row r="8" spans="1:13" s="23" customFormat="1" ht="11.25" customHeight="1" x14ac:dyDescent="0.4">
      <c r="B8" s="497"/>
      <c r="C8" s="500"/>
      <c r="D8" s="500"/>
      <c r="E8" s="500"/>
      <c r="F8" s="500"/>
      <c r="G8" s="500"/>
      <c r="H8" s="500"/>
    </row>
    <row r="9" spans="1:13" s="23" customFormat="1" ht="45.75" customHeight="1" x14ac:dyDescent="0.35">
      <c r="B9" s="766"/>
      <c r="C9" s="838" t="s">
        <v>494</v>
      </c>
      <c r="D9" s="838" t="s">
        <v>493</v>
      </c>
      <c r="E9" s="508" t="s">
        <v>492</v>
      </c>
      <c r="F9" s="508" t="s">
        <v>513</v>
      </c>
      <c r="G9" s="508" t="s">
        <v>512</v>
      </c>
      <c r="H9" s="508" t="s">
        <v>574</v>
      </c>
      <c r="M9" s="64"/>
    </row>
    <row r="10" spans="1:13" s="23" customFormat="1" ht="24.75" customHeight="1" x14ac:dyDescent="0.3">
      <c r="B10" s="728"/>
      <c r="C10" s="726"/>
      <c r="D10" s="726"/>
      <c r="E10" s="726"/>
      <c r="F10" s="726"/>
      <c r="G10" s="726"/>
      <c r="H10" s="727"/>
      <c r="M10" s="64"/>
    </row>
    <row r="11" spans="1:13" s="25" customFormat="1" ht="34.200000000000003" customHeight="1" x14ac:dyDescent="0.3">
      <c r="B11" s="883" t="s">
        <v>530</v>
      </c>
      <c r="C11" s="857">
        <v>4.4000000000000004</v>
      </c>
      <c r="D11" s="857">
        <v>4.5</v>
      </c>
      <c r="E11" s="857">
        <v>4.5</v>
      </c>
      <c r="F11" s="857">
        <v>4.5</v>
      </c>
      <c r="G11" s="857">
        <v>4.5</v>
      </c>
      <c r="H11" s="858">
        <v>4.5</v>
      </c>
      <c r="K11" s="988"/>
      <c r="M11" s="65"/>
    </row>
    <row r="12" spans="1:13" s="25" customFormat="1" ht="34.200000000000003" customHeight="1" x14ac:dyDescent="0.3">
      <c r="B12" s="883" t="s">
        <v>516</v>
      </c>
      <c r="C12" s="857">
        <v>4.5</v>
      </c>
      <c r="D12" s="857">
        <v>4.5999999999999996</v>
      </c>
      <c r="E12" s="859">
        <v>4.7</v>
      </c>
      <c r="F12" s="859">
        <v>4.7</v>
      </c>
      <c r="G12" s="890">
        <v>4.7</v>
      </c>
      <c r="H12" s="860">
        <v>4.7</v>
      </c>
      <c r="K12" s="978"/>
      <c r="L12" s="76"/>
      <c r="M12" s="65"/>
    </row>
    <row r="13" spans="1:13" s="25" customFormat="1" ht="34.200000000000003" customHeight="1" x14ac:dyDescent="0.3">
      <c r="B13" s="883" t="s">
        <v>517</v>
      </c>
      <c r="C13" s="857">
        <v>1</v>
      </c>
      <c r="D13" s="859">
        <v>1.1000000000000001</v>
      </c>
      <c r="E13" s="859">
        <v>1.1000000000000001</v>
      </c>
      <c r="F13" s="859">
        <v>1.1000000000000001</v>
      </c>
      <c r="G13" s="890">
        <v>1.3</v>
      </c>
      <c r="H13" s="860">
        <v>1.4</v>
      </c>
      <c r="M13" s="65"/>
    </row>
    <row r="14" spans="1:13" s="25" customFormat="1" ht="34.200000000000003" customHeight="1" x14ac:dyDescent="0.3">
      <c r="B14" s="883" t="s">
        <v>532</v>
      </c>
      <c r="C14" s="857">
        <v>6.3</v>
      </c>
      <c r="D14" s="859">
        <v>6.7</v>
      </c>
      <c r="E14" s="859">
        <v>6.7</v>
      </c>
      <c r="F14" s="859">
        <v>7.2</v>
      </c>
      <c r="G14" s="857">
        <v>7.5</v>
      </c>
      <c r="H14" s="858">
        <v>7.5</v>
      </c>
      <c r="M14" s="65"/>
    </row>
    <row r="15" spans="1:13" s="25" customFormat="1" ht="34.200000000000003" customHeight="1" x14ac:dyDescent="0.3">
      <c r="B15" s="883" t="s">
        <v>531</v>
      </c>
      <c r="C15" s="857">
        <v>2.7606419999999998</v>
      </c>
      <c r="D15" s="857">
        <v>2.9661780000000002</v>
      </c>
      <c r="E15" s="857">
        <v>2.7575029999999998</v>
      </c>
      <c r="F15" s="857">
        <v>2.9218579999999998</v>
      </c>
      <c r="G15" s="857">
        <v>3.0454240000000001</v>
      </c>
      <c r="H15" s="858">
        <v>3.1533030000000002</v>
      </c>
      <c r="M15" s="65"/>
    </row>
    <row r="16" spans="1:13" s="25" customFormat="1" ht="34.200000000000003" customHeight="1" x14ac:dyDescent="0.3">
      <c r="B16" s="883" t="s">
        <v>526</v>
      </c>
      <c r="C16" s="890" t="s">
        <v>525</v>
      </c>
      <c r="D16" s="890" t="s">
        <v>518</v>
      </c>
      <c r="E16" s="890" t="s">
        <v>518</v>
      </c>
      <c r="F16" s="890" t="s">
        <v>518</v>
      </c>
      <c r="G16" s="857" t="s">
        <v>518</v>
      </c>
      <c r="H16" s="858" t="s">
        <v>518</v>
      </c>
      <c r="M16" s="65"/>
    </row>
    <row r="17" spans="2:13" s="25" customFormat="1" ht="34.200000000000003" customHeight="1" x14ac:dyDescent="0.3">
      <c r="B17" s="883" t="s">
        <v>511</v>
      </c>
      <c r="C17" s="878">
        <v>810</v>
      </c>
      <c r="D17" s="878">
        <v>910</v>
      </c>
      <c r="E17" s="879">
        <v>1000</v>
      </c>
      <c r="F17" s="879">
        <v>1060</v>
      </c>
      <c r="G17" s="852">
        <v>1065</v>
      </c>
      <c r="H17" s="843">
        <v>1120</v>
      </c>
      <c r="M17" s="65"/>
    </row>
    <row r="18" spans="2:13" s="25" customFormat="1" ht="34.200000000000003" customHeight="1" x14ac:dyDescent="0.3">
      <c r="B18" s="883" t="s">
        <v>692</v>
      </c>
      <c r="C18" s="878"/>
      <c r="D18" s="878"/>
      <c r="E18" s="879"/>
      <c r="F18" s="879"/>
      <c r="G18" s="852"/>
      <c r="H18" s="843">
        <v>1921.5450000000001</v>
      </c>
      <c r="M18" s="65"/>
    </row>
    <row r="19" spans="2:13" s="25" customFormat="1" ht="34.200000000000003" customHeight="1" x14ac:dyDescent="0.3">
      <c r="B19" s="888" t="s">
        <v>647</v>
      </c>
      <c r="C19" s="861" t="s">
        <v>143</v>
      </c>
      <c r="D19" s="862" t="s">
        <v>143</v>
      </c>
      <c r="E19" s="862" t="s">
        <v>143</v>
      </c>
      <c r="F19" s="877">
        <v>9</v>
      </c>
      <c r="G19" s="938">
        <v>30</v>
      </c>
      <c r="H19" s="894">
        <v>60</v>
      </c>
      <c r="M19" s="65"/>
    </row>
    <row r="20" spans="2:13" s="26" customFormat="1" ht="17.399999999999999" customHeight="1" x14ac:dyDescent="0.4">
      <c r="B20" s="549"/>
      <c r="C20" s="528"/>
      <c r="D20" s="528"/>
      <c r="E20" s="594"/>
      <c r="F20" s="594"/>
      <c r="G20" s="594"/>
      <c r="H20" s="528"/>
    </row>
    <row r="21" spans="2:13" s="26" customFormat="1" ht="18.75" customHeight="1" x14ac:dyDescent="0.35">
      <c r="B21" s="1062" t="s">
        <v>529</v>
      </c>
      <c r="C21" s="1061"/>
      <c r="D21" s="1061"/>
      <c r="E21" s="1061"/>
      <c r="F21" s="1061"/>
      <c r="G21" s="1061"/>
      <c r="H21" s="1061"/>
      <c r="I21" s="1061"/>
    </row>
    <row r="22" spans="2:13" s="26" customFormat="1" ht="18.75" customHeight="1" x14ac:dyDescent="0.35">
      <c r="B22" s="1062" t="s">
        <v>528</v>
      </c>
      <c r="C22" s="1061"/>
      <c r="D22" s="1061"/>
      <c r="E22" s="1061"/>
      <c r="F22" s="1061"/>
      <c r="G22" s="1061"/>
      <c r="H22" s="1061"/>
      <c r="I22" s="1061"/>
    </row>
    <row r="23" spans="2:13" s="19" customFormat="1" ht="22.5" customHeight="1" x14ac:dyDescent="0.25">
      <c r="B23" s="1063"/>
      <c r="C23" s="1063"/>
      <c r="D23" s="1063"/>
      <c r="E23" s="1063"/>
      <c r="F23" s="1063"/>
      <c r="G23" s="1063"/>
      <c r="H23" s="1063"/>
    </row>
    <row r="26" spans="2:13" ht="15" customHeight="1" x14ac:dyDescent="0.2">
      <c r="C26" s="67"/>
      <c r="D26" s="67"/>
      <c r="E26" s="97"/>
      <c r="F26" s="97"/>
      <c r="G26" s="97"/>
      <c r="H26" s="67"/>
    </row>
    <row r="27" spans="2:13" ht="15" customHeight="1" x14ac:dyDescent="0.2">
      <c r="B27" s="1069"/>
      <c r="C27" s="1069"/>
      <c r="D27" s="1069"/>
      <c r="E27" s="1069"/>
      <c r="F27" s="1069"/>
      <c r="G27" s="1069"/>
      <c r="H27" s="1069"/>
    </row>
    <row r="28" spans="2:13" ht="15" customHeight="1" x14ac:dyDescent="0.2">
      <c r="B28" s="1069"/>
      <c r="C28" s="1069"/>
      <c r="D28" s="1069"/>
      <c r="E28" s="1069"/>
      <c r="F28" s="1069"/>
      <c r="G28" s="1069"/>
      <c r="H28" s="1069"/>
    </row>
  </sheetData>
  <mergeCells count="6">
    <mergeCell ref="B27:H27"/>
    <mergeCell ref="B28:H28"/>
    <mergeCell ref="B5:H5"/>
    <mergeCell ref="B22:I22"/>
    <mergeCell ref="B23:H23"/>
    <mergeCell ref="B21:I21"/>
  </mergeCells>
  <hyperlinks>
    <hyperlink ref="H2" location="'Cover '!A1" display="Back to Cover" xr:uid="{C6B66B00-2599-4079-97AB-56B29C766F3D}"/>
  </hyperlinks>
  <printOptions horizontalCentered="1" verticalCentered="1"/>
  <pageMargins left="0" right="0" top="0" bottom="0" header="0" footer="0"/>
  <pageSetup paperSize="8" orientation="landscape"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pageSetUpPr fitToPage="1"/>
  </sheetPr>
  <dimension ref="A1:V59"/>
  <sheetViews>
    <sheetView showGridLines="0" view="pageBreakPreview" zoomScale="85" zoomScaleNormal="80" zoomScaleSheetLayoutView="85" workbookViewId="0">
      <pane xSplit="2" ySplit="10" topLeftCell="F11" activePane="bottomRight" state="frozen"/>
      <selection pane="topRight" activeCell="C1" sqref="C1"/>
      <selection pane="bottomLeft" activeCell="A11" sqref="A11"/>
      <selection pane="bottomRight" activeCell="B5" sqref="B5:N5"/>
    </sheetView>
  </sheetViews>
  <sheetFormatPr defaultColWidth="9.109375" defaultRowHeight="13.8" x14ac:dyDescent="0.3"/>
  <cols>
    <col min="1" max="1" width="2.44140625" style="2" customWidth="1"/>
    <col min="2" max="2" width="65.5546875" style="2" customWidth="1"/>
    <col min="3" max="14" width="18.6640625" style="2" customWidth="1"/>
    <col min="15" max="15" width="2.44140625" style="2" customWidth="1"/>
    <col min="16" max="16" width="12.44140625" style="2" bestFit="1" customWidth="1"/>
    <col min="17" max="17" width="9.109375" style="2"/>
    <col min="18" max="18" width="13.5546875" style="2" bestFit="1" customWidth="1"/>
    <col min="19" max="19" width="13.88671875" style="2" customWidth="1"/>
    <col min="20" max="16384" width="9.109375" style="2"/>
  </cols>
  <sheetData>
    <row r="1" spans="1:22" ht="15.75" customHeight="1" x14ac:dyDescent="0.35">
      <c r="B1" s="595"/>
      <c r="C1" s="595"/>
      <c r="D1" s="595"/>
      <c r="E1" s="595"/>
      <c r="F1" s="595"/>
      <c r="G1" s="595"/>
      <c r="H1" s="595"/>
      <c r="I1" s="595"/>
      <c r="J1" s="595"/>
      <c r="K1" s="595"/>
      <c r="L1" s="595"/>
      <c r="M1" s="595"/>
      <c r="N1" s="595"/>
    </row>
    <row r="2" spans="1:22" ht="15.75" customHeight="1" x14ac:dyDescent="0.35">
      <c r="B2" s="595"/>
      <c r="C2" s="115"/>
      <c r="D2" s="115"/>
      <c r="E2" s="115"/>
      <c r="F2" s="115"/>
      <c r="G2" s="115"/>
      <c r="H2" s="115"/>
      <c r="I2" s="115"/>
      <c r="J2" s="115"/>
      <c r="K2" s="115"/>
      <c r="L2" s="115"/>
      <c r="M2" s="115"/>
      <c r="N2" s="114" t="s">
        <v>18</v>
      </c>
    </row>
    <row r="3" spans="1:22" ht="15.75" customHeight="1" x14ac:dyDescent="0.35">
      <c r="B3" s="595"/>
      <c r="C3" s="595"/>
      <c r="D3" s="595"/>
      <c r="E3" s="595"/>
      <c r="F3" s="595"/>
      <c r="G3" s="595"/>
      <c r="H3" s="595"/>
      <c r="I3" s="595"/>
      <c r="J3" s="595"/>
      <c r="K3" s="595"/>
      <c r="L3" s="595"/>
      <c r="M3" s="595"/>
      <c r="N3" s="595"/>
    </row>
    <row r="4" spans="1:22" ht="15.75" customHeight="1" x14ac:dyDescent="0.35">
      <c r="B4" s="595"/>
      <c r="C4" s="595"/>
      <c r="D4" s="595"/>
      <c r="E4" s="595"/>
      <c r="F4" s="595"/>
      <c r="G4" s="595"/>
      <c r="H4" s="595"/>
      <c r="I4" s="595"/>
      <c r="J4" s="595"/>
      <c r="K4" s="595"/>
      <c r="L4" s="595"/>
      <c r="M4" s="595"/>
      <c r="N4" s="595"/>
    </row>
    <row r="5" spans="1:22" ht="27.6" x14ac:dyDescent="0.3">
      <c r="A5" s="16"/>
      <c r="B5" s="1044" t="s">
        <v>15</v>
      </c>
      <c r="C5" s="1044"/>
      <c r="D5" s="1044"/>
      <c r="E5" s="1044"/>
      <c r="F5" s="1044"/>
      <c r="G5" s="1044"/>
      <c r="H5" s="1044"/>
      <c r="I5" s="1044"/>
      <c r="J5" s="1044"/>
      <c r="K5" s="1044"/>
      <c r="L5" s="1044"/>
      <c r="M5" s="1044"/>
      <c r="N5" s="1044"/>
    </row>
    <row r="6" spans="1:22" s="20" customFormat="1" ht="12" customHeight="1" x14ac:dyDescent="0.2">
      <c r="A6" s="16"/>
      <c r="B6" s="119"/>
      <c r="C6" s="119"/>
      <c r="D6" s="119"/>
      <c r="E6" s="119"/>
      <c r="F6" s="119"/>
      <c r="G6" s="119"/>
      <c r="H6" s="119"/>
      <c r="I6" s="119"/>
      <c r="J6" s="119"/>
      <c r="K6" s="119"/>
      <c r="L6" s="119"/>
      <c r="M6" s="119"/>
      <c r="N6" s="119"/>
    </row>
    <row r="7" spans="1:22" ht="12" customHeight="1" x14ac:dyDescent="0.35">
      <c r="B7" s="595"/>
      <c r="C7" s="120"/>
      <c r="D7" s="120"/>
      <c r="E7" s="120"/>
      <c r="F7" s="120"/>
      <c r="G7" s="120"/>
      <c r="H7" s="120"/>
      <c r="I7" s="120"/>
      <c r="J7" s="120"/>
      <c r="K7" s="120"/>
      <c r="L7" s="120"/>
      <c r="M7" s="120"/>
      <c r="N7" s="120"/>
    </row>
    <row r="8" spans="1:22" ht="12" customHeight="1" x14ac:dyDescent="0.35">
      <c r="B8" s="595"/>
      <c r="C8" s="120"/>
      <c r="D8" s="120"/>
      <c r="E8" s="120"/>
      <c r="F8" s="120"/>
      <c r="G8" s="120"/>
      <c r="H8" s="120"/>
      <c r="I8" s="120"/>
      <c r="J8" s="120"/>
      <c r="K8" s="120"/>
      <c r="L8" s="120"/>
      <c r="M8" s="120"/>
      <c r="N8" s="120"/>
    </row>
    <row r="9" spans="1:22" ht="4.95" customHeight="1" x14ac:dyDescent="0.35">
      <c r="B9" s="595"/>
      <c r="C9" s="595"/>
      <c r="D9" s="595"/>
      <c r="E9" s="595"/>
      <c r="F9" s="595"/>
      <c r="G9" s="595"/>
      <c r="H9" s="595"/>
      <c r="I9" s="595"/>
      <c r="J9" s="595"/>
      <c r="K9" s="595"/>
      <c r="L9" s="595"/>
      <c r="M9" s="595"/>
      <c r="N9" s="595"/>
    </row>
    <row r="10" spans="1:22" ht="31.5" customHeight="1" x14ac:dyDescent="0.3">
      <c r="B10" s="605" t="s">
        <v>263</v>
      </c>
      <c r="C10" s="305">
        <v>45016</v>
      </c>
      <c r="D10" s="305">
        <v>45107</v>
      </c>
      <c r="E10" s="305">
        <v>45199</v>
      </c>
      <c r="F10" s="305">
        <v>45291</v>
      </c>
      <c r="G10" s="305">
        <v>45382</v>
      </c>
      <c r="H10" s="305">
        <v>45473</v>
      </c>
      <c r="I10" s="305">
        <v>45565</v>
      </c>
      <c r="J10" s="305">
        <v>45657</v>
      </c>
      <c r="K10" s="305">
        <v>45747</v>
      </c>
      <c r="L10" s="305">
        <v>45838</v>
      </c>
      <c r="M10" s="321">
        <v>45930</v>
      </c>
      <c r="N10" s="306">
        <v>46022</v>
      </c>
    </row>
    <row r="11" spans="1:22" ht="20.25" customHeight="1" x14ac:dyDescent="0.3">
      <c r="B11" s="268" t="s">
        <v>48</v>
      </c>
      <c r="C11" s="296">
        <v>403</v>
      </c>
      <c r="D11" s="296">
        <v>403</v>
      </c>
      <c r="E11" s="295">
        <v>402</v>
      </c>
      <c r="F11" s="296">
        <v>394</v>
      </c>
      <c r="G11" s="296">
        <v>391</v>
      </c>
      <c r="H11" s="295">
        <v>386</v>
      </c>
      <c r="I11" s="295">
        <v>384</v>
      </c>
      <c r="J11" s="295">
        <v>384</v>
      </c>
      <c r="K11" s="295">
        <v>384</v>
      </c>
      <c r="L11" s="295">
        <v>384</v>
      </c>
      <c r="M11" s="921">
        <v>384</v>
      </c>
      <c r="N11" s="307">
        <v>384</v>
      </c>
    </row>
    <row r="12" spans="1:22" ht="21" customHeight="1" x14ac:dyDescent="0.3">
      <c r="B12" s="638" t="s">
        <v>8</v>
      </c>
      <c r="C12" s="639">
        <v>387</v>
      </c>
      <c r="D12" s="639">
        <v>387</v>
      </c>
      <c r="E12" s="486">
        <v>386</v>
      </c>
      <c r="F12" s="639">
        <v>378</v>
      </c>
      <c r="G12" s="639">
        <v>375</v>
      </c>
      <c r="H12" s="486">
        <v>371</v>
      </c>
      <c r="I12" s="486">
        <v>368</v>
      </c>
      <c r="J12" s="486">
        <v>368</v>
      </c>
      <c r="K12" s="486">
        <v>368</v>
      </c>
      <c r="L12" s="486">
        <v>368</v>
      </c>
      <c r="M12" s="489">
        <v>368</v>
      </c>
      <c r="N12" s="487">
        <v>368</v>
      </c>
    </row>
    <row r="13" spans="1:22" ht="21" customHeight="1" x14ac:dyDescent="0.3">
      <c r="B13" s="637" t="s">
        <v>9</v>
      </c>
      <c r="C13" s="178">
        <v>16</v>
      </c>
      <c r="D13" s="178">
        <v>16</v>
      </c>
      <c r="E13" s="177">
        <v>16</v>
      </c>
      <c r="F13" s="178">
        <v>16</v>
      </c>
      <c r="G13" s="178">
        <v>16</v>
      </c>
      <c r="H13" s="177">
        <v>16</v>
      </c>
      <c r="I13" s="177">
        <v>16</v>
      </c>
      <c r="J13" s="177">
        <v>16</v>
      </c>
      <c r="K13" s="177">
        <v>16</v>
      </c>
      <c r="L13" s="177">
        <v>16</v>
      </c>
      <c r="M13" s="908">
        <v>16</v>
      </c>
      <c r="N13" s="210">
        <v>16</v>
      </c>
    </row>
    <row r="14" spans="1:22" ht="18" customHeight="1" x14ac:dyDescent="0.3">
      <c r="B14" s="636"/>
      <c r="C14" s="597"/>
      <c r="D14" s="597"/>
      <c r="E14" s="623"/>
      <c r="F14" s="597"/>
      <c r="G14" s="597"/>
      <c r="H14" s="623"/>
      <c r="I14" s="623"/>
      <c r="J14" s="623"/>
      <c r="K14" s="623"/>
      <c r="L14" s="623"/>
      <c r="M14" s="939"/>
      <c r="N14" s="624"/>
      <c r="Q14" s="54"/>
      <c r="R14" s="56"/>
      <c r="S14" s="56"/>
      <c r="T14" s="56"/>
      <c r="U14" s="56"/>
      <c r="V14" s="4"/>
    </row>
    <row r="15" spans="1:22" ht="18" customHeight="1" x14ac:dyDescent="0.3">
      <c r="B15" s="635" t="s">
        <v>36</v>
      </c>
      <c r="C15" s="625">
        <v>0</v>
      </c>
      <c r="D15" s="625">
        <v>0</v>
      </c>
      <c r="E15" s="626">
        <v>0</v>
      </c>
      <c r="F15" s="625">
        <v>0</v>
      </c>
      <c r="G15" s="625">
        <v>0</v>
      </c>
      <c r="H15" s="626">
        <v>0</v>
      </c>
      <c r="I15" s="626">
        <v>0</v>
      </c>
      <c r="J15" s="626">
        <v>0</v>
      </c>
      <c r="K15" s="626">
        <v>0</v>
      </c>
      <c r="L15" s="626">
        <v>0</v>
      </c>
      <c r="M15" s="940">
        <v>0</v>
      </c>
      <c r="N15" s="627">
        <v>0</v>
      </c>
      <c r="Q15" s="54"/>
      <c r="R15" s="55"/>
      <c r="S15" s="55"/>
      <c r="T15" s="55"/>
      <c r="U15" s="55"/>
    </row>
    <row r="16" spans="1:22" ht="15" x14ac:dyDescent="0.35">
      <c r="B16" s="596"/>
      <c r="C16" s="596"/>
      <c r="D16" s="596"/>
      <c r="E16" s="596"/>
      <c r="F16" s="596"/>
      <c r="G16" s="596"/>
      <c r="H16" s="596"/>
      <c r="I16" s="596"/>
      <c r="J16" s="596"/>
      <c r="K16" s="596"/>
      <c r="L16" s="596"/>
      <c r="M16" s="596"/>
      <c r="N16" s="596"/>
    </row>
    <row r="17" spans="2:18" ht="15" x14ac:dyDescent="0.35">
      <c r="B17" s="596"/>
      <c r="C17" s="596"/>
      <c r="D17" s="596"/>
      <c r="E17" s="596"/>
      <c r="F17" s="596"/>
      <c r="G17" s="596"/>
      <c r="H17" s="596"/>
      <c r="I17" s="596"/>
      <c r="J17" s="596"/>
      <c r="K17" s="596"/>
      <c r="L17" s="596"/>
      <c r="M17" s="596"/>
      <c r="N17" s="596"/>
    </row>
    <row r="18" spans="2:18" ht="31.5" customHeight="1" x14ac:dyDescent="0.3">
      <c r="B18" s="605" t="s">
        <v>260</v>
      </c>
      <c r="C18" s="305">
        <v>45016</v>
      </c>
      <c r="D18" s="305">
        <v>45107</v>
      </c>
      <c r="E18" s="305">
        <v>45199</v>
      </c>
      <c r="F18" s="305">
        <v>45291</v>
      </c>
      <c r="G18" s="305">
        <v>45382</v>
      </c>
      <c r="H18" s="305">
        <v>45473</v>
      </c>
      <c r="I18" s="305">
        <v>45565</v>
      </c>
      <c r="J18" s="305">
        <v>45657</v>
      </c>
      <c r="K18" s="305">
        <v>45747</v>
      </c>
      <c r="L18" s="305">
        <v>45838</v>
      </c>
      <c r="M18" s="321">
        <v>45930</v>
      </c>
      <c r="N18" s="306">
        <v>46022</v>
      </c>
    </row>
    <row r="19" spans="2:18" s="4" customFormat="1" ht="21" customHeight="1" x14ac:dyDescent="0.3">
      <c r="B19" s="268" t="s">
        <v>13</v>
      </c>
      <c r="C19" s="296">
        <v>8802.0709999999999</v>
      </c>
      <c r="D19" s="296">
        <v>8898.2250000000004</v>
      </c>
      <c r="E19" s="295">
        <v>8572.158179</v>
      </c>
      <c r="F19" s="296">
        <v>8087.1549999999997</v>
      </c>
      <c r="G19" s="296">
        <v>7917.56</v>
      </c>
      <c r="H19" s="295">
        <v>7906.4581790000002</v>
      </c>
      <c r="I19" s="295">
        <v>7912.4197180000001</v>
      </c>
      <c r="J19" s="295">
        <v>7761.4197180000001</v>
      </c>
      <c r="K19" s="295">
        <v>7771.6697180000001</v>
      </c>
      <c r="L19" s="295">
        <v>7753.3697179999999</v>
      </c>
      <c r="M19" s="921">
        <v>7751.4697180000003</v>
      </c>
      <c r="N19" s="307">
        <v>8472.3697179999999</v>
      </c>
      <c r="P19" s="82"/>
      <c r="Q19" s="82"/>
    </row>
    <row r="20" spans="2:18" ht="21" customHeight="1" x14ac:dyDescent="0.3">
      <c r="B20" s="628" t="s">
        <v>48</v>
      </c>
      <c r="C20" s="629">
        <v>8742.0709999999999</v>
      </c>
      <c r="D20" s="629">
        <v>8830.2250000000004</v>
      </c>
      <c r="E20" s="630">
        <v>8537.158179</v>
      </c>
      <c r="F20" s="629">
        <v>8053.1549999999997</v>
      </c>
      <c r="G20" s="629">
        <v>7883.56</v>
      </c>
      <c r="H20" s="630">
        <v>7872.4581790000002</v>
      </c>
      <c r="I20" s="630">
        <v>7878.4197180000001</v>
      </c>
      <c r="J20" s="630">
        <v>7734.4197180000001</v>
      </c>
      <c r="K20" s="630">
        <v>7744.6697180000001</v>
      </c>
      <c r="L20" s="630">
        <v>7726.3697179999999</v>
      </c>
      <c r="M20" s="941">
        <v>7751.4697180000003</v>
      </c>
      <c r="N20" s="647">
        <v>8472.3697179999999</v>
      </c>
      <c r="Q20" s="63"/>
    </row>
    <row r="21" spans="2:18" ht="21" customHeight="1" x14ac:dyDescent="0.3">
      <c r="B21" s="622" t="s">
        <v>8</v>
      </c>
      <c r="C21" s="296">
        <v>8237.4750000000004</v>
      </c>
      <c r="D21" s="296">
        <v>8234.375</v>
      </c>
      <c r="E21" s="295">
        <v>8166.375</v>
      </c>
      <c r="F21" s="296">
        <v>7672.375</v>
      </c>
      <c r="G21" s="296">
        <v>7501.4800000000005</v>
      </c>
      <c r="H21" s="295">
        <v>7489.4750000000004</v>
      </c>
      <c r="I21" s="295">
        <v>7495.4750000000004</v>
      </c>
      <c r="J21" s="295">
        <v>7355.9750000000004</v>
      </c>
      <c r="K21" s="295">
        <v>7367.9750000000004</v>
      </c>
      <c r="L21" s="295">
        <v>7356.9750000000004</v>
      </c>
      <c r="M21" s="921">
        <v>7378.9750000000004</v>
      </c>
      <c r="N21" s="307">
        <v>8099.9750000000004</v>
      </c>
      <c r="P21" s="63"/>
      <c r="Q21" s="63"/>
    </row>
    <row r="22" spans="2:18" ht="21" customHeight="1" x14ac:dyDescent="0.3">
      <c r="B22" s="278" t="s">
        <v>37</v>
      </c>
      <c r="C22" s="226">
        <v>7842.1</v>
      </c>
      <c r="D22" s="226">
        <v>7822.1</v>
      </c>
      <c r="E22" s="234">
        <v>7802.1</v>
      </c>
      <c r="F22" s="226">
        <v>7379.1</v>
      </c>
      <c r="G22" s="226">
        <v>7204.6</v>
      </c>
      <c r="H22" s="234">
        <v>7181.6</v>
      </c>
      <c r="I22" s="234">
        <v>7184.6</v>
      </c>
      <c r="J22" s="234">
        <v>7022.6</v>
      </c>
      <c r="K22" s="234">
        <v>7021.6</v>
      </c>
      <c r="L22" s="234">
        <v>6990.6</v>
      </c>
      <c r="M22" s="925">
        <v>7002.6</v>
      </c>
      <c r="N22" s="309">
        <v>7007.6</v>
      </c>
      <c r="Q22" s="63"/>
    </row>
    <row r="23" spans="2:18" ht="21" customHeight="1" x14ac:dyDescent="0.3">
      <c r="B23" s="278" t="s">
        <v>14</v>
      </c>
      <c r="C23" s="226">
        <v>395.375</v>
      </c>
      <c r="D23" s="226">
        <v>412.27499999999998</v>
      </c>
      <c r="E23" s="234">
        <v>364.27499999999998</v>
      </c>
      <c r="F23" s="226">
        <v>293.27499999999998</v>
      </c>
      <c r="G23" s="226">
        <v>296.88</v>
      </c>
      <c r="H23" s="234">
        <v>307.875</v>
      </c>
      <c r="I23" s="234">
        <v>310.875</v>
      </c>
      <c r="J23" s="234">
        <v>333.375</v>
      </c>
      <c r="K23" s="234">
        <v>346.375</v>
      </c>
      <c r="L23" s="234">
        <v>366.375</v>
      </c>
      <c r="M23" s="925">
        <v>376.375</v>
      </c>
      <c r="N23" s="309">
        <v>411.375</v>
      </c>
      <c r="Q23" s="63"/>
    </row>
    <row r="24" spans="2:18" ht="21" customHeight="1" x14ac:dyDescent="0.3">
      <c r="B24" s="631" t="s">
        <v>603</v>
      </c>
      <c r="C24" s="632"/>
      <c r="D24" s="632"/>
      <c r="E24" s="633"/>
      <c r="F24" s="632"/>
      <c r="G24" s="632"/>
      <c r="H24" s="633"/>
      <c r="I24" s="633"/>
      <c r="J24" s="633"/>
      <c r="K24" s="633"/>
      <c r="L24" s="633"/>
      <c r="M24" s="942"/>
      <c r="N24" s="634">
        <v>681</v>
      </c>
      <c r="Q24" s="63"/>
    </row>
    <row r="25" spans="2:18" ht="21" customHeight="1" x14ac:dyDescent="0.3">
      <c r="B25" s="622" t="s">
        <v>42</v>
      </c>
      <c r="C25" s="296">
        <v>504.59599999999995</v>
      </c>
      <c r="D25" s="296">
        <v>595.85</v>
      </c>
      <c r="E25" s="295">
        <v>370.7831789999999</v>
      </c>
      <c r="F25" s="296">
        <v>380.77999999999992</v>
      </c>
      <c r="G25" s="296">
        <v>382.07999999999993</v>
      </c>
      <c r="H25" s="295">
        <v>382.98317899999989</v>
      </c>
      <c r="I25" s="295">
        <v>382.94471799999991</v>
      </c>
      <c r="J25" s="295">
        <v>378.44471799999991</v>
      </c>
      <c r="K25" s="295">
        <v>376.69471799999991</v>
      </c>
      <c r="L25" s="295">
        <v>369.39471799999995</v>
      </c>
      <c r="M25" s="921">
        <v>372.49471799999998</v>
      </c>
      <c r="N25" s="307">
        <v>372.39471799999995</v>
      </c>
      <c r="Q25" s="63"/>
      <c r="R25" s="63"/>
    </row>
    <row r="26" spans="2:18" ht="21" customHeight="1" x14ac:dyDescent="0.3">
      <c r="B26" s="311" t="s">
        <v>49</v>
      </c>
      <c r="C26" s="226">
        <v>43</v>
      </c>
      <c r="D26" s="226">
        <v>52</v>
      </c>
      <c r="E26" s="234">
        <v>35</v>
      </c>
      <c r="F26" s="226">
        <v>34</v>
      </c>
      <c r="G26" s="226">
        <v>34</v>
      </c>
      <c r="H26" s="234">
        <v>34</v>
      </c>
      <c r="I26" s="234">
        <v>34</v>
      </c>
      <c r="J26" s="234">
        <v>27</v>
      </c>
      <c r="K26" s="234">
        <v>27</v>
      </c>
      <c r="L26" s="234">
        <v>27</v>
      </c>
      <c r="M26" s="925">
        <v>0</v>
      </c>
      <c r="N26" s="309">
        <v>0</v>
      </c>
      <c r="P26" s="6"/>
      <c r="Q26" s="63"/>
    </row>
    <row r="27" spans="2:18" ht="21" customHeight="1" x14ac:dyDescent="0.3">
      <c r="B27" s="608" t="s">
        <v>444</v>
      </c>
      <c r="C27" s="619">
        <v>17</v>
      </c>
      <c r="D27" s="619">
        <v>16</v>
      </c>
      <c r="E27" s="620">
        <v>0</v>
      </c>
      <c r="F27" s="619">
        <v>0</v>
      </c>
      <c r="G27" s="619">
        <v>0</v>
      </c>
      <c r="H27" s="620">
        <v>0</v>
      </c>
      <c r="I27" s="620">
        <v>0</v>
      </c>
      <c r="J27" s="620">
        <v>0</v>
      </c>
      <c r="K27" s="620">
        <v>0</v>
      </c>
      <c r="L27" s="620">
        <v>0</v>
      </c>
      <c r="M27" s="943">
        <v>0</v>
      </c>
      <c r="N27" s="621">
        <v>0</v>
      </c>
    </row>
    <row r="28" spans="2:18" ht="12.75" customHeight="1" x14ac:dyDescent="0.3">
      <c r="B28" s="116"/>
      <c r="C28" s="598"/>
      <c r="D28" s="598"/>
      <c r="E28" s="598"/>
      <c r="F28" s="598"/>
      <c r="G28" s="598"/>
      <c r="H28" s="598"/>
      <c r="I28" s="598"/>
      <c r="J28" s="598"/>
      <c r="K28" s="598"/>
      <c r="L28" s="598"/>
      <c r="M28" s="598"/>
      <c r="N28" s="598"/>
    </row>
    <row r="29" spans="2:18" s="3" customFormat="1" ht="12.75" customHeight="1" x14ac:dyDescent="0.3">
      <c r="B29" s="599"/>
      <c r="C29" s="600"/>
      <c r="D29" s="600"/>
      <c r="E29" s="600"/>
      <c r="F29" s="600"/>
      <c r="G29" s="600"/>
      <c r="H29" s="600"/>
      <c r="I29" s="600"/>
      <c r="J29" s="600"/>
      <c r="K29" s="600"/>
      <c r="L29" s="600"/>
      <c r="M29" s="600"/>
      <c r="N29" s="600"/>
    </row>
    <row r="30" spans="2:18" ht="31.5" customHeight="1" x14ac:dyDescent="0.3">
      <c r="B30" s="605" t="s">
        <v>261</v>
      </c>
      <c r="C30" s="305">
        <v>45016</v>
      </c>
      <c r="D30" s="305">
        <v>45107</v>
      </c>
      <c r="E30" s="305">
        <v>45199</v>
      </c>
      <c r="F30" s="305">
        <v>45291</v>
      </c>
      <c r="G30" s="305">
        <v>45382</v>
      </c>
      <c r="H30" s="305">
        <v>45473</v>
      </c>
      <c r="I30" s="305">
        <v>45565</v>
      </c>
      <c r="J30" s="305">
        <v>45657</v>
      </c>
      <c r="K30" s="305">
        <v>45747</v>
      </c>
      <c r="L30" s="305">
        <v>45838</v>
      </c>
      <c r="M30" s="321">
        <v>45930</v>
      </c>
      <c r="N30" s="306">
        <v>46022</v>
      </c>
      <c r="P30" s="47"/>
    </row>
    <row r="31" spans="2:18" s="3" customFormat="1" ht="38.25" customHeight="1" x14ac:dyDescent="0.3">
      <c r="B31" s="617" t="s">
        <v>694</v>
      </c>
      <c r="C31" s="226">
        <v>1250367223</v>
      </c>
      <c r="D31" s="226">
        <v>1250367223</v>
      </c>
      <c r="E31" s="234">
        <v>1250367223</v>
      </c>
      <c r="F31" s="226">
        <v>1250367223</v>
      </c>
      <c r="G31" s="226">
        <v>1250367223</v>
      </c>
      <c r="H31" s="234">
        <v>1250367223</v>
      </c>
      <c r="I31" s="234">
        <v>1250367223</v>
      </c>
      <c r="J31" s="234">
        <v>1250367223</v>
      </c>
      <c r="K31" s="234">
        <v>1250367223</v>
      </c>
      <c r="L31" s="234">
        <v>1250367223</v>
      </c>
      <c r="M31" s="925">
        <v>1250367223</v>
      </c>
      <c r="N31" s="309">
        <v>1235953028</v>
      </c>
    </row>
    <row r="32" spans="2:18" s="3" customFormat="1" ht="38.25" customHeight="1" x14ac:dyDescent="0.3">
      <c r="B32" s="617" t="s">
        <v>693</v>
      </c>
      <c r="C32" s="226">
        <v>1249995345</v>
      </c>
      <c r="D32" s="226">
        <v>1249341330.9999998</v>
      </c>
      <c r="E32" s="226">
        <v>1243964830</v>
      </c>
      <c r="F32" s="226">
        <v>1245122198</v>
      </c>
      <c r="G32" s="226">
        <v>1245893686</v>
      </c>
      <c r="H32" s="234">
        <v>1245212023</v>
      </c>
      <c r="I32" s="234">
        <v>1246622609</v>
      </c>
      <c r="J32" s="234">
        <v>1246037681</v>
      </c>
      <c r="K32" s="234">
        <v>1247448117</v>
      </c>
      <c r="L32" s="234">
        <v>1247575412</v>
      </c>
      <c r="M32" s="925">
        <v>1247988212.9999998</v>
      </c>
      <c r="N32" s="309">
        <v>1230028374.0999999</v>
      </c>
    </row>
    <row r="33" spans="2:19" s="3" customFormat="1" ht="38.25" customHeight="1" x14ac:dyDescent="0.3">
      <c r="B33" s="617" t="s">
        <v>695</v>
      </c>
      <c r="C33" s="226">
        <v>1250020909.8142855</v>
      </c>
      <c r="D33" s="226">
        <v>1250054238.8295112</v>
      </c>
      <c r="E33" s="234">
        <v>1249777043.4871008</v>
      </c>
      <c r="F33" s="226">
        <v>1248386765.5779128</v>
      </c>
      <c r="G33" s="226">
        <v>1245490625.968852</v>
      </c>
      <c r="H33" s="234">
        <v>1245564731.0000029</v>
      </c>
      <c r="I33" s="234">
        <v>1245964394.581085</v>
      </c>
      <c r="J33" s="234">
        <v>1246145867.6645174</v>
      </c>
      <c r="K33" s="234">
        <v>1246922860.2666662</v>
      </c>
      <c r="L33" s="234">
        <v>1247341298.1991799</v>
      </c>
      <c r="M33" s="925">
        <v>1247616875.4387136</v>
      </c>
      <c r="N33" s="309">
        <v>1244934504.1685495</v>
      </c>
      <c r="P33" s="5"/>
    </row>
    <row r="34" spans="2:19" s="3" customFormat="1" ht="38.25" customHeight="1" x14ac:dyDescent="0.3">
      <c r="B34" s="618" t="s">
        <v>696</v>
      </c>
      <c r="C34" s="619">
        <v>1250020909.8142855</v>
      </c>
      <c r="D34" s="619">
        <v>1250054238.8295112</v>
      </c>
      <c r="E34" s="620">
        <v>1249777043.4871008</v>
      </c>
      <c r="F34" s="619">
        <v>1248386765.5779128</v>
      </c>
      <c r="G34" s="619">
        <v>1245490625.968852</v>
      </c>
      <c r="H34" s="620">
        <v>1245564731.0000029</v>
      </c>
      <c r="I34" s="620">
        <v>1245964394.581085</v>
      </c>
      <c r="J34" s="620">
        <v>1246145867.6645174</v>
      </c>
      <c r="K34" s="620">
        <v>1246922860.2666662</v>
      </c>
      <c r="L34" s="620">
        <v>1247341298.1991763</v>
      </c>
      <c r="M34" s="943">
        <v>1247616875.4387136</v>
      </c>
      <c r="N34" s="621">
        <v>1244934504.1685495</v>
      </c>
    </row>
    <row r="35" spans="2:19" s="3" customFormat="1" ht="10.5" customHeight="1" x14ac:dyDescent="0.4">
      <c r="B35" s="601"/>
      <c r="C35" s="602"/>
      <c r="D35" s="602"/>
      <c r="E35" s="602"/>
      <c r="F35" s="602"/>
      <c r="G35" s="602"/>
      <c r="H35" s="602"/>
      <c r="I35" s="602"/>
      <c r="J35" s="602"/>
      <c r="K35" s="602"/>
      <c r="L35" s="602"/>
      <c r="M35" s="602"/>
      <c r="N35" s="602"/>
    </row>
    <row r="36" spans="2:19" s="3" customFormat="1" ht="15.75" customHeight="1" x14ac:dyDescent="0.4">
      <c r="B36" s="116" t="s">
        <v>545</v>
      </c>
      <c r="C36" s="602"/>
      <c r="D36" s="602"/>
      <c r="E36" s="602"/>
      <c r="F36" s="602"/>
      <c r="G36" s="602"/>
      <c r="H36" s="602"/>
      <c r="I36" s="602"/>
      <c r="J36" s="602"/>
      <c r="K36" s="602"/>
      <c r="L36" s="602"/>
      <c r="M36" s="602"/>
      <c r="N36" s="602"/>
    </row>
    <row r="37" spans="2:19" s="3" customFormat="1" ht="15.75" customHeight="1" x14ac:dyDescent="0.4">
      <c r="B37" s="116" t="s">
        <v>546</v>
      </c>
      <c r="C37" s="602"/>
      <c r="D37" s="602"/>
      <c r="E37" s="602"/>
      <c r="F37" s="602"/>
      <c r="G37" s="602"/>
      <c r="H37" s="602"/>
      <c r="I37" s="602"/>
      <c r="J37" s="602"/>
      <c r="K37" s="602"/>
      <c r="L37" s="602"/>
      <c r="M37" s="602"/>
      <c r="N37" s="602"/>
    </row>
    <row r="38" spans="2:19" s="3" customFormat="1" ht="15.75" customHeight="1" x14ac:dyDescent="0.4">
      <c r="B38" s="116" t="s">
        <v>547</v>
      </c>
      <c r="C38" s="602"/>
      <c r="D38" s="602"/>
      <c r="E38" s="602"/>
      <c r="F38" s="602"/>
      <c r="G38" s="602"/>
      <c r="H38" s="602"/>
      <c r="I38" s="602"/>
      <c r="J38" s="602"/>
      <c r="K38" s="602"/>
      <c r="L38" s="602"/>
      <c r="M38" s="602"/>
      <c r="N38" s="602"/>
    </row>
    <row r="39" spans="2:19" s="3" customFormat="1" ht="15.75" customHeight="1" x14ac:dyDescent="0.4">
      <c r="B39" s="116" t="s">
        <v>548</v>
      </c>
      <c r="C39" s="602"/>
      <c r="D39" s="602"/>
      <c r="E39" s="602"/>
      <c r="F39" s="602"/>
      <c r="G39" s="602"/>
      <c r="H39" s="602"/>
      <c r="I39" s="602"/>
      <c r="J39" s="602"/>
      <c r="K39" s="602"/>
      <c r="L39" s="602"/>
      <c r="M39" s="602"/>
      <c r="N39" s="602"/>
    </row>
    <row r="40" spans="2:19" s="3" customFormat="1" ht="15.75" customHeight="1" x14ac:dyDescent="0.4">
      <c r="B40" s="116"/>
      <c r="C40" s="602"/>
      <c r="D40" s="602"/>
      <c r="E40" s="602"/>
      <c r="F40" s="602"/>
      <c r="G40" s="602"/>
      <c r="H40" s="602"/>
      <c r="I40" s="602"/>
      <c r="J40" s="602"/>
      <c r="K40" s="602"/>
      <c r="L40" s="602"/>
      <c r="M40" s="602"/>
      <c r="N40" s="602"/>
      <c r="S40" s="79"/>
    </row>
    <row r="41" spans="2:19" ht="31.5" customHeight="1" x14ac:dyDescent="0.3">
      <c r="B41" s="605" t="s">
        <v>262</v>
      </c>
      <c r="C41" s="305">
        <v>45016</v>
      </c>
      <c r="D41" s="305">
        <v>45107</v>
      </c>
      <c r="E41" s="305">
        <v>45199</v>
      </c>
      <c r="F41" s="305">
        <v>45291</v>
      </c>
      <c r="G41" s="305">
        <v>45382</v>
      </c>
      <c r="H41" s="305">
        <v>45473</v>
      </c>
      <c r="I41" s="305">
        <v>45565</v>
      </c>
      <c r="J41" s="305">
        <v>45657</v>
      </c>
      <c r="K41" s="305">
        <v>45747</v>
      </c>
      <c r="L41" s="305">
        <v>45838</v>
      </c>
      <c r="M41" s="321">
        <v>45930</v>
      </c>
      <c r="N41" s="306">
        <v>46022</v>
      </c>
      <c r="R41" s="93"/>
      <c r="S41" s="78"/>
    </row>
    <row r="42" spans="2:19" s="3" customFormat="1" ht="24" customHeight="1" x14ac:dyDescent="0.3">
      <c r="B42" s="333" t="s">
        <v>128</v>
      </c>
      <c r="C42" s="226">
        <v>2498.2337115539999</v>
      </c>
      <c r="D42" s="226">
        <v>3758.6038723379997</v>
      </c>
      <c r="E42" s="234">
        <v>3513.5318966300001</v>
      </c>
      <c r="F42" s="226">
        <v>4001.1751136000003</v>
      </c>
      <c r="G42" s="226">
        <v>4846.4233563479993</v>
      </c>
      <c r="H42" s="234">
        <v>4258.750761538</v>
      </c>
      <c r="I42" s="234">
        <v>4783.9049951979996</v>
      </c>
      <c r="J42" s="234">
        <v>4813.9138085499999</v>
      </c>
      <c r="K42" s="234">
        <v>6311.8537417040006</v>
      </c>
      <c r="L42" s="234">
        <v>7354.6600056859997</v>
      </c>
      <c r="M42" s="925">
        <v>9020.1491467220003</v>
      </c>
      <c r="N42" s="309">
        <v>8397.0648722320002</v>
      </c>
    </row>
    <row r="43" spans="2:19" s="3" customFormat="1" ht="24" customHeight="1" x14ac:dyDescent="0.3">
      <c r="B43" s="333" t="s">
        <v>81</v>
      </c>
      <c r="C43" s="603">
        <v>4.6600973542025468</v>
      </c>
      <c r="D43" s="603">
        <v>4.7386473600944212</v>
      </c>
      <c r="E43" s="611">
        <v>4.960739123147075</v>
      </c>
      <c r="F43" s="603">
        <v>5.1005170498132903</v>
      </c>
      <c r="G43" s="603">
        <v>5.2886711555258668</v>
      </c>
      <c r="H43" s="611">
        <v>5.4465728524370345</v>
      </c>
      <c r="I43" s="611">
        <v>5.6890063850029211</v>
      </c>
      <c r="J43" s="611">
        <v>5.7785186674463018</v>
      </c>
      <c r="K43" s="611">
        <v>6.0130412622202858</v>
      </c>
      <c r="L43" s="611">
        <v>5.8978454762941421</v>
      </c>
      <c r="M43" s="944">
        <v>6.0901389749584114</v>
      </c>
      <c r="N43" s="612">
        <v>5.9165952215668165</v>
      </c>
      <c r="P43" s="826"/>
      <c r="S43" s="80"/>
    </row>
    <row r="44" spans="2:19" s="3" customFormat="1" ht="24" customHeight="1" x14ac:dyDescent="0.3">
      <c r="B44" s="333" t="s">
        <v>80</v>
      </c>
      <c r="C44" s="603">
        <f t="shared" ref="C44:H44" si="0">(C42/(C32/1000000))/C43</f>
        <v>0.4288739612288201</v>
      </c>
      <c r="D44" s="603">
        <f t="shared" si="0"/>
        <v>0.63487914105734478</v>
      </c>
      <c r="E44" s="611">
        <f t="shared" si="0"/>
        <v>0.56936322104655901</v>
      </c>
      <c r="F44" s="603">
        <f t="shared" si="0"/>
        <v>0.63003021738949017</v>
      </c>
      <c r="G44" s="603">
        <f t="shared" si="0"/>
        <v>0.73551883791922479</v>
      </c>
      <c r="H44" s="611">
        <f t="shared" si="0"/>
        <v>0.62793631765351865</v>
      </c>
      <c r="I44" s="611">
        <f t="shared" ref="I44:N44" si="1">(I42/(I32/1000000))/I43</f>
        <v>0.67454530839687354</v>
      </c>
      <c r="J44" s="611">
        <f t="shared" si="1"/>
        <v>0.66857573992549146</v>
      </c>
      <c r="K44" s="611">
        <f t="shared" si="1"/>
        <v>0.84147312692287157</v>
      </c>
      <c r="L44" s="611">
        <f t="shared" si="1"/>
        <v>0.99954512216229197</v>
      </c>
      <c r="M44" s="944">
        <f t="shared" si="1"/>
        <v>1.1867958851031539</v>
      </c>
      <c r="N44" s="612">
        <f t="shared" si="1"/>
        <v>1.1538265290864995</v>
      </c>
    </row>
    <row r="45" spans="2:19" s="3" customFormat="1" ht="24" customHeight="1" x14ac:dyDescent="0.3">
      <c r="B45" s="333" t="s">
        <v>113</v>
      </c>
      <c r="C45" s="603">
        <v>0.13330929644381997</v>
      </c>
      <c r="D45" s="603">
        <v>8.5291343010887685E-2</v>
      </c>
      <c r="E45" s="611">
        <v>0.21242883530718476</v>
      </c>
      <c r="F45" s="603">
        <v>0.15911450323368179</v>
      </c>
      <c r="G45" s="603">
        <v>0.17658569304283314</v>
      </c>
      <c r="H45" s="611">
        <v>0.25448035687654136</v>
      </c>
      <c r="I45" s="611">
        <v>0.24488039565950157</v>
      </c>
      <c r="J45" s="611">
        <v>0.13740515444331888</v>
      </c>
      <c r="K45" s="611">
        <v>0.21692124611223412</v>
      </c>
      <c r="L45" s="611">
        <v>0.21031273739146128</v>
      </c>
      <c r="M45" s="944">
        <v>0.1929681686825355</v>
      </c>
      <c r="N45" s="612">
        <v>0.18681434191776453</v>
      </c>
    </row>
    <row r="46" spans="2:19" s="3" customFormat="1" ht="24" customHeight="1" x14ac:dyDescent="0.3">
      <c r="B46" s="333" t="s">
        <v>127</v>
      </c>
      <c r="C46" s="603">
        <v>0.14583654309528654</v>
      </c>
      <c r="D46" s="603">
        <v>0.1538456392887077</v>
      </c>
      <c r="E46" s="611">
        <v>0.22825966872391404</v>
      </c>
      <c r="F46" s="603">
        <v>0.21809505961438166</v>
      </c>
      <c r="G46" s="603">
        <v>0.23594955898572548</v>
      </c>
      <c r="H46" s="611">
        <v>0.23467390454597309</v>
      </c>
      <c r="I46" s="611">
        <v>0.22723242184515857</v>
      </c>
      <c r="J46" s="611">
        <v>0.21962588745371969</v>
      </c>
      <c r="K46" s="611">
        <v>0.20987886905439931</v>
      </c>
      <c r="L46" s="611">
        <v>0.18502528807452975</v>
      </c>
      <c r="M46" s="944">
        <v>0.19650345848258424</v>
      </c>
      <c r="N46" s="612">
        <v>0.22222601713379728</v>
      </c>
    </row>
    <row r="47" spans="2:19" s="3" customFormat="1" ht="24" customHeight="1" x14ac:dyDescent="0.3">
      <c r="B47" s="333" t="s">
        <v>135</v>
      </c>
      <c r="C47" s="603">
        <v>0.15245576774527919</v>
      </c>
      <c r="D47" s="603">
        <v>0.18007706154844233</v>
      </c>
      <c r="E47" s="611">
        <v>0.21367726288531819</v>
      </c>
      <c r="F47" s="603">
        <v>0.25160261418775215</v>
      </c>
      <c r="G47" s="603">
        <v>0.21364749556552445</v>
      </c>
      <c r="H47" s="611">
        <v>0.25011304233528114</v>
      </c>
      <c r="I47" s="611">
        <v>0.24592670002666389</v>
      </c>
      <c r="J47" s="611">
        <v>0.25910703698085025</v>
      </c>
      <c r="K47" s="611">
        <v>0.21692124611223412</v>
      </c>
      <c r="L47" s="611">
        <v>0.22340212649205377</v>
      </c>
      <c r="M47" s="944">
        <v>0.20719105942389221</v>
      </c>
      <c r="N47" s="612">
        <v>0.25406263818802671</v>
      </c>
    </row>
    <row r="48" spans="2:19" s="3" customFormat="1" ht="24" customHeight="1" x14ac:dyDescent="0.3">
      <c r="B48" s="613" t="s">
        <v>134</v>
      </c>
      <c r="C48" s="614">
        <v>3.0661601612639533</v>
      </c>
      <c r="D48" s="614">
        <v>3.946410124282266</v>
      </c>
      <c r="E48" s="615">
        <v>3.1489440553415982</v>
      </c>
      <c r="F48" s="614">
        <v>3.0646161574259887</v>
      </c>
      <c r="G48" s="614">
        <v>4.3378989923250026</v>
      </c>
      <c r="H48" s="615">
        <v>3.1967497083661662</v>
      </c>
      <c r="I48" s="615">
        <v>3.740900320923481</v>
      </c>
      <c r="J48" s="615">
        <v>3.5819715971171733</v>
      </c>
      <c r="K48" s="615">
        <v>5.5616338309759872</v>
      </c>
      <c r="L48" s="615">
        <v>6.3003364952284828</v>
      </c>
      <c r="M48" s="945">
        <v>8.0986230294472552</v>
      </c>
      <c r="N48" s="616">
        <v>6.3059158735434115</v>
      </c>
    </row>
    <row r="49" spans="2:14" s="3" customFormat="1" ht="9.75" customHeight="1" x14ac:dyDescent="0.4">
      <c r="B49" s="116"/>
      <c r="C49" s="602"/>
      <c r="D49" s="602"/>
      <c r="E49" s="602"/>
      <c r="F49" s="602"/>
      <c r="G49" s="602"/>
      <c r="H49" s="602"/>
      <c r="I49" s="602"/>
      <c r="J49" s="602"/>
      <c r="K49" s="602"/>
      <c r="L49" s="602"/>
      <c r="M49" s="602"/>
      <c r="N49" s="602"/>
    </row>
    <row r="50" spans="2:14" s="3" customFormat="1" ht="15.75" customHeight="1" x14ac:dyDescent="0.4">
      <c r="B50" s="116" t="s">
        <v>413</v>
      </c>
      <c r="C50" s="602"/>
      <c r="D50" s="602"/>
      <c r="E50" s="602"/>
      <c r="F50" s="602"/>
      <c r="G50" s="602"/>
      <c r="H50" s="602"/>
      <c r="I50" s="602"/>
      <c r="J50" s="602"/>
      <c r="K50" s="602"/>
      <c r="L50" s="602"/>
      <c r="M50" s="602"/>
      <c r="N50" s="602"/>
    </row>
    <row r="51" spans="2:14" s="3" customFormat="1" ht="13.5" customHeight="1" x14ac:dyDescent="0.4">
      <c r="B51" s="599"/>
      <c r="C51" s="602"/>
      <c r="D51" s="602"/>
      <c r="E51" s="602"/>
      <c r="F51" s="602"/>
      <c r="G51" s="602"/>
      <c r="H51" s="602"/>
      <c r="I51" s="602"/>
      <c r="J51" s="602"/>
      <c r="K51" s="602"/>
      <c r="L51" s="602"/>
      <c r="M51" s="602"/>
      <c r="N51" s="602"/>
    </row>
    <row r="52" spans="2:14" ht="31.5" customHeight="1" x14ac:dyDescent="0.3">
      <c r="B52" s="605" t="s">
        <v>259</v>
      </c>
      <c r="C52" s="305">
        <v>45016</v>
      </c>
      <c r="D52" s="305">
        <v>45107</v>
      </c>
      <c r="E52" s="305">
        <v>45199</v>
      </c>
      <c r="F52" s="305">
        <v>45291</v>
      </c>
      <c r="G52" s="305">
        <v>45382</v>
      </c>
      <c r="H52" s="305">
        <v>45473</v>
      </c>
      <c r="I52" s="305">
        <v>45565</v>
      </c>
      <c r="J52" s="305">
        <v>45657</v>
      </c>
      <c r="K52" s="305">
        <v>45747</v>
      </c>
      <c r="L52" s="305">
        <v>45838</v>
      </c>
      <c r="M52" s="321">
        <v>45930</v>
      </c>
      <c r="N52" s="306">
        <v>46022</v>
      </c>
    </row>
    <row r="53" spans="2:14" s="6" customFormat="1" ht="48" customHeight="1" x14ac:dyDescent="0.25">
      <c r="B53" s="311" t="s">
        <v>549</v>
      </c>
      <c r="C53" s="604" t="s">
        <v>147</v>
      </c>
      <c r="D53" s="604" t="s">
        <v>147</v>
      </c>
      <c r="E53" s="606" t="s">
        <v>166</v>
      </c>
      <c r="F53" s="604" t="s">
        <v>166</v>
      </c>
      <c r="G53" s="604" t="s">
        <v>166</v>
      </c>
      <c r="H53" s="606" t="s">
        <v>166</v>
      </c>
      <c r="I53" s="606" t="s">
        <v>406</v>
      </c>
      <c r="J53" s="606" t="s">
        <v>406</v>
      </c>
      <c r="K53" s="606" t="s">
        <v>449</v>
      </c>
      <c r="L53" s="606" t="s">
        <v>449</v>
      </c>
      <c r="M53" s="946" t="s">
        <v>449</v>
      </c>
      <c r="N53" s="607" t="s">
        <v>449</v>
      </c>
    </row>
    <row r="54" spans="2:14" s="6" customFormat="1" ht="48" customHeight="1" x14ac:dyDescent="0.25">
      <c r="B54" s="311" t="s">
        <v>527</v>
      </c>
      <c r="C54" s="604" t="s">
        <v>126</v>
      </c>
      <c r="D54" s="604" t="s">
        <v>159</v>
      </c>
      <c r="E54" s="606" t="s">
        <v>159</v>
      </c>
      <c r="F54" s="604" t="s">
        <v>269</v>
      </c>
      <c r="G54" s="604" t="s">
        <v>269</v>
      </c>
      <c r="H54" s="606" t="s">
        <v>269</v>
      </c>
      <c r="I54" s="606" t="s">
        <v>407</v>
      </c>
      <c r="J54" s="606" t="s">
        <v>407</v>
      </c>
      <c r="K54" s="606" t="s">
        <v>448</v>
      </c>
      <c r="L54" s="606" t="s">
        <v>448</v>
      </c>
      <c r="M54" s="946" t="s">
        <v>448</v>
      </c>
      <c r="N54" s="607" t="s">
        <v>448</v>
      </c>
    </row>
    <row r="55" spans="2:14" s="6" customFormat="1" ht="48" customHeight="1" x14ac:dyDescent="0.25">
      <c r="B55" s="311" t="s">
        <v>550</v>
      </c>
      <c r="C55" s="604" t="s">
        <v>126</v>
      </c>
      <c r="D55" s="604" t="s">
        <v>126</v>
      </c>
      <c r="E55" s="606" t="s">
        <v>167</v>
      </c>
      <c r="F55" s="604" t="s">
        <v>269</v>
      </c>
      <c r="G55" s="604" t="s">
        <v>269</v>
      </c>
      <c r="H55" s="606" t="s">
        <v>269</v>
      </c>
      <c r="I55" s="606" t="s">
        <v>407</v>
      </c>
      <c r="J55" s="606" t="s">
        <v>407</v>
      </c>
      <c r="K55" s="606" t="s">
        <v>447</v>
      </c>
      <c r="L55" s="606" t="s">
        <v>447</v>
      </c>
      <c r="M55" s="946" t="s">
        <v>447</v>
      </c>
      <c r="N55" s="607" t="s">
        <v>609</v>
      </c>
    </row>
    <row r="56" spans="2:14" ht="48" customHeight="1" x14ac:dyDescent="0.3">
      <c r="B56" s="608" t="s">
        <v>66</v>
      </c>
      <c r="C56" s="609" t="s">
        <v>148</v>
      </c>
      <c r="D56" s="609" t="s">
        <v>148</v>
      </c>
      <c r="E56" s="610" t="s">
        <v>148</v>
      </c>
      <c r="F56" s="609" t="s">
        <v>270</v>
      </c>
      <c r="G56" s="609" t="s">
        <v>270</v>
      </c>
      <c r="H56" s="610" t="s">
        <v>270</v>
      </c>
      <c r="I56" s="610" t="s">
        <v>408</v>
      </c>
      <c r="J56" s="610" t="s">
        <v>408</v>
      </c>
      <c r="K56" s="610" t="s">
        <v>450</v>
      </c>
      <c r="L56" s="610" t="s">
        <v>450</v>
      </c>
      <c r="M56" s="947" t="s">
        <v>450</v>
      </c>
      <c r="N56" s="720" t="s">
        <v>450</v>
      </c>
    </row>
    <row r="57" spans="2:14" ht="15" x14ac:dyDescent="0.35">
      <c r="B57" s="596"/>
      <c r="C57" s="596"/>
      <c r="D57" s="596"/>
      <c r="E57" s="596"/>
      <c r="F57" s="596"/>
      <c r="G57" s="596"/>
      <c r="H57" s="596"/>
      <c r="I57" s="596"/>
      <c r="J57" s="596"/>
      <c r="K57" s="596"/>
      <c r="L57" s="596"/>
      <c r="M57" s="596"/>
      <c r="N57" s="596"/>
    </row>
    <row r="58" spans="2:14" ht="18" customHeight="1" x14ac:dyDescent="0.3">
      <c r="B58" s="1070" t="s">
        <v>611</v>
      </c>
      <c r="C58" s="1070"/>
      <c r="D58" s="1070"/>
      <c r="E58" s="1070"/>
      <c r="F58" s="1070"/>
      <c r="G58" s="1070"/>
      <c r="H58" s="1070"/>
      <c r="I58" s="1070"/>
      <c r="J58" s="1070"/>
      <c r="K58" s="1070"/>
      <c r="L58" s="1070"/>
      <c r="M58" s="1070"/>
      <c r="N58" s="958"/>
    </row>
    <row r="59" spans="2:14" ht="18" customHeight="1" x14ac:dyDescent="0.3">
      <c r="B59" s="1070" t="s">
        <v>610</v>
      </c>
      <c r="C59" s="1070"/>
      <c r="D59" s="328"/>
      <c r="E59" s="328"/>
      <c r="F59" s="328"/>
      <c r="G59" s="328"/>
      <c r="H59" s="328"/>
      <c r="I59" s="328"/>
      <c r="J59" s="328"/>
      <c r="K59" s="328"/>
      <c r="L59" s="328"/>
      <c r="M59" s="328"/>
      <c r="N59" s="328"/>
    </row>
  </sheetData>
  <mergeCells count="8">
    <mergeCell ref="B5:N5"/>
    <mergeCell ref="B59:C59"/>
    <mergeCell ref="B58:C58"/>
    <mergeCell ref="D58:E58"/>
    <mergeCell ref="F58:G58"/>
    <mergeCell ref="H58:I58"/>
    <mergeCell ref="J58:K58"/>
    <mergeCell ref="L58:M58"/>
  </mergeCells>
  <hyperlinks>
    <hyperlink ref="N2" location="'Cover '!A1" display="Back to Cover" xr:uid="{00000000-0004-0000-0800-000000000000}"/>
  </hyperlinks>
  <printOptions horizontalCentered="1" verticalCentered="1"/>
  <pageMargins left="0" right="0" top="0" bottom="0" header="0" footer="0"/>
  <pageSetup paperSize="8" scale="50"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4CD6B2-46D9-4700-A5A0-5E211DA7B7DC}">
  <sheetPr codeName="Sheet5">
    <pageSetUpPr fitToPage="1"/>
  </sheetPr>
  <dimension ref="A1:V79"/>
  <sheetViews>
    <sheetView showGridLines="0" view="pageBreakPreview" zoomScale="85" zoomScaleNormal="90" zoomScaleSheetLayoutView="85" workbookViewId="0">
      <pane xSplit="2" ySplit="9" topLeftCell="C10" activePane="bottomRight" state="frozen"/>
      <selection pane="topRight" activeCell="C1" sqref="C1"/>
      <selection pane="bottomLeft" activeCell="A10" sqref="A10"/>
      <selection pane="bottomRight" activeCell="B5" sqref="B5:P5"/>
    </sheetView>
  </sheetViews>
  <sheetFormatPr defaultColWidth="9.109375" defaultRowHeight="13.8" x14ac:dyDescent="0.25"/>
  <cols>
    <col min="1" max="1" width="2.44140625" style="10" customWidth="1"/>
    <col min="2" max="2" width="80.6640625" style="10" customWidth="1"/>
    <col min="3" max="9" width="14.44140625" style="10" customWidth="1"/>
    <col min="10" max="10" width="15.44140625" style="10" bestFit="1" customWidth="1"/>
    <col min="11" max="12" width="14.44140625" style="10" customWidth="1"/>
    <col min="13" max="13" width="17.33203125" style="10" customWidth="1"/>
    <col min="14" max="16" width="14.44140625" style="10" customWidth="1"/>
    <col min="17" max="17" width="3.5546875" style="10" customWidth="1"/>
    <col min="18" max="19" width="9.109375" style="10"/>
    <col min="20" max="20" width="19" style="10" bestFit="1" customWidth="1"/>
    <col min="21" max="16384" width="9.109375" style="10"/>
  </cols>
  <sheetData>
    <row r="1" spans="1:20" s="6" customFormat="1" ht="15.75" customHeight="1" x14ac:dyDescent="0.25">
      <c r="B1" s="10"/>
      <c r="C1" s="10"/>
      <c r="D1" s="10"/>
      <c r="E1" s="10"/>
      <c r="F1" s="10"/>
      <c r="G1" s="10"/>
      <c r="H1" s="10"/>
      <c r="I1" s="10"/>
      <c r="J1" s="10"/>
      <c r="K1" s="10"/>
      <c r="L1" s="10"/>
      <c r="M1" s="10"/>
      <c r="N1" s="10"/>
      <c r="O1" s="10"/>
      <c r="P1" s="10"/>
    </row>
    <row r="2" spans="1:20" s="6" customFormat="1" ht="15.75" customHeight="1" x14ac:dyDescent="0.25">
      <c r="B2" s="10"/>
      <c r="H2" s="112"/>
      <c r="I2" s="112"/>
      <c r="J2" s="112"/>
      <c r="K2" s="112"/>
      <c r="L2" s="112"/>
      <c r="M2" s="112"/>
      <c r="N2" s="112"/>
      <c r="O2" s="112"/>
      <c r="P2" s="114" t="s">
        <v>18</v>
      </c>
    </row>
    <row r="3" spans="1:20" s="6" customFormat="1" ht="15.75" customHeight="1" x14ac:dyDescent="0.25">
      <c r="B3" s="10"/>
      <c r="C3" s="8"/>
      <c r="D3" s="8"/>
      <c r="E3" s="8"/>
      <c r="F3" s="8"/>
      <c r="G3" s="8"/>
      <c r="H3" s="115"/>
      <c r="I3" s="115"/>
      <c r="J3" s="115"/>
      <c r="K3" s="115"/>
      <c r="L3" s="115"/>
      <c r="M3" s="115"/>
      <c r="N3" s="115"/>
      <c r="O3" s="115"/>
      <c r="P3" s="115"/>
    </row>
    <row r="4" spans="1:20" ht="15.75" customHeight="1" x14ac:dyDescent="0.25"/>
    <row r="5" spans="1:20" s="17" customFormat="1" ht="27.6" x14ac:dyDescent="0.25">
      <c r="A5" s="16"/>
      <c r="B5" s="1044" t="s">
        <v>136</v>
      </c>
      <c r="C5" s="1044"/>
      <c r="D5" s="1044"/>
      <c r="E5" s="1044"/>
      <c r="F5" s="1044"/>
      <c r="G5" s="1044"/>
      <c r="H5" s="1044"/>
      <c r="I5" s="1044"/>
      <c r="J5" s="1044"/>
      <c r="K5" s="1044"/>
      <c r="L5" s="1044"/>
      <c r="M5" s="1044"/>
      <c r="N5" s="1044"/>
      <c r="O5" s="1044"/>
      <c r="P5" s="1044"/>
    </row>
    <row r="6" spans="1:20" s="17" customFormat="1" ht="9" customHeight="1" x14ac:dyDescent="0.25">
      <c r="A6" s="16"/>
      <c r="B6" s="18"/>
      <c r="C6" s="18"/>
      <c r="D6" s="18"/>
      <c r="E6" s="18"/>
      <c r="F6" s="18"/>
      <c r="G6" s="18"/>
      <c r="H6" s="18"/>
      <c r="I6" s="18"/>
      <c r="J6" s="18"/>
      <c r="K6" s="18"/>
      <c r="L6" s="18"/>
      <c r="M6" s="18"/>
      <c r="N6" s="18"/>
      <c r="O6" s="18"/>
      <c r="P6" s="18"/>
    </row>
    <row r="7" spans="1:20" s="6" customFormat="1" ht="9" customHeight="1" x14ac:dyDescent="0.25">
      <c r="B7" s="10"/>
      <c r="C7" s="32"/>
      <c r="D7" s="32"/>
      <c r="E7" s="32"/>
      <c r="F7" s="32"/>
      <c r="G7" s="32"/>
      <c r="H7" s="32"/>
      <c r="I7" s="32"/>
      <c r="J7" s="32"/>
      <c r="K7" s="32"/>
      <c r="L7" s="32"/>
      <c r="M7" s="32"/>
      <c r="N7" s="32"/>
      <c r="O7" s="32"/>
      <c r="P7" s="32"/>
    </row>
    <row r="8" spans="1:20" s="6" customFormat="1" ht="18" customHeight="1" x14ac:dyDescent="0.25">
      <c r="B8" s="140" t="s">
        <v>0</v>
      </c>
      <c r="C8" s="92"/>
      <c r="D8" s="92"/>
      <c r="E8" s="92"/>
      <c r="F8" s="92"/>
      <c r="G8" s="92"/>
      <c r="H8" s="92"/>
      <c r="I8" s="92"/>
      <c r="J8" s="92"/>
      <c r="K8" s="92"/>
      <c r="L8" s="92"/>
      <c r="M8" s="92"/>
      <c r="N8" s="92"/>
      <c r="O8" s="92"/>
      <c r="P8" s="92"/>
    </row>
    <row r="9" spans="1:20" s="9" customFormat="1" ht="31.2" customHeight="1" x14ac:dyDescent="0.25">
      <c r="B9" s="141" t="s">
        <v>266</v>
      </c>
      <c r="C9" s="142" t="s">
        <v>154</v>
      </c>
      <c r="D9" s="142" t="s">
        <v>157</v>
      </c>
      <c r="E9" s="142" t="s">
        <v>165</v>
      </c>
      <c r="F9" s="142" t="s">
        <v>268</v>
      </c>
      <c r="G9" s="142" t="s">
        <v>274</v>
      </c>
      <c r="H9" s="142" t="s">
        <v>360</v>
      </c>
      <c r="I9" s="142" t="s">
        <v>397</v>
      </c>
      <c r="J9" s="142" t="s">
        <v>416</v>
      </c>
      <c r="K9" s="142" t="s">
        <v>446</v>
      </c>
      <c r="L9" s="142" t="s">
        <v>455</v>
      </c>
      <c r="M9" s="142" t="s">
        <v>496</v>
      </c>
      <c r="N9" s="142" t="s">
        <v>559</v>
      </c>
      <c r="O9" s="142" t="s">
        <v>570</v>
      </c>
      <c r="P9" s="180" t="s">
        <v>571</v>
      </c>
    </row>
    <row r="10" spans="1:20" s="9" customFormat="1" ht="24" customHeight="1" x14ac:dyDescent="0.25">
      <c r="B10" s="231" t="s">
        <v>1</v>
      </c>
      <c r="C10" s="221">
        <v>446.86599999999999</v>
      </c>
      <c r="D10" s="221">
        <v>487.8</v>
      </c>
      <c r="E10" s="221">
        <v>531.351</v>
      </c>
      <c r="F10" s="221">
        <v>536.64499999999998</v>
      </c>
      <c r="G10" s="221">
        <v>517.62899999999991</v>
      </c>
      <c r="H10" s="688">
        <v>527.55799999999999</v>
      </c>
      <c r="I10" s="688">
        <v>529.50533123000014</v>
      </c>
      <c r="J10" s="688">
        <v>513.51499999999999</v>
      </c>
      <c r="K10" s="688">
        <v>480.952</v>
      </c>
      <c r="L10" s="688">
        <v>473.56599999999997</v>
      </c>
      <c r="M10" s="688">
        <v>471.23099999999999</v>
      </c>
      <c r="N10" s="817">
        <v>476.851</v>
      </c>
      <c r="O10" s="688">
        <v>2088.2073312299999</v>
      </c>
      <c r="P10" s="239">
        <v>1902.6</v>
      </c>
      <c r="S10" s="39"/>
      <c r="T10" s="39"/>
    </row>
    <row r="11" spans="1:20" s="9" customFormat="1" ht="24" customHeight="1" x14ac:dyDescent="0.25">
      <c r="B11" s="143" t="s">
        <v>676</v>
      </c>
      <c r="C11" s="144">
        <v>121.64700000000001</v>
      </c>
      <c r="D11" s="221">
        <v>141.40600000000001</v>
      </c>
      <c r="E11" s="221">
        <v>139.97699999999998</v>
      </c>
      <c r="F11" s="221">
        <v>143.60599999999999</v>
      </c>
      <c r="G11" s="221">
        <v>145.32</v>
      </c>
      <c r="H11" s="221">
        <v>167.289108</v>
      </c>
      <c r="I11" s="688">
        <v>155.89676098999999</v>
      </c>
      <c r="J11" s="688">
        <v>167.35399999999998</v>
      </c>
      <c r="K11" s="688">
        <v>159.72299999999998</v>
      </c>
      <c r="L11" s="688">
        <v>165.53200000000001</v>
      </c>
      <c r="M11" s="688">
        <v>163.86399999999998</v>
      </c>
      <c r="N11" s="817">
        <v>206.49499399999999</v>
      </c>
      <c r="O11" s="688">
        <v>635.85986899</v>
      </c>
      <c r="P11" s="239">
        <v>695.61399399999993</v>
      </c>
      <c r="S11" s="39"/>
      <c r="T11" s="39"/>
    </row>
    <row r="12" spans="1:20" s="9" customFormat="1" ht="24" customHeight="1" x14ac:dyDescent="0.25">
      <c r="B12" s="232" t="s">
        <v>137</v>
      </c>
      <c r="C12" s="222">
        <v>-202.85099999999997</v>
      </c>
      <c r="D12" s="221">
        <v>-199.03649299999998</v>
      </c>
      <c r="E12" s="221">
        <v>-194.48475400000004</v>
      </c>
      <c r="F12" s="221">
        <v>-196.15899999999999</v>
      </c>
      <c r="G12" s="221">
        <v>-192.82569612</v>
      </c>
      <c r="H12" s="221">
        <v>-198.9605905</v>
      </c>
      <c r="I12" s="688">
        <v>-205.76782789999999</v>
      </c>
      <c r="J12" s="688">
        <v>-225.18730776000001</v>
      </c>
      <c r="K12" s="688">
        <v>-221.57400000000001</v>
      </c>
      <c r="L12" s="688">
        <v>-208.048</v>
      </c>
      <c r="M12" s="688">
        <v>-206.43</v>
      </c>
      <c r="N12" s="817">
        <v>-234.30717874999999</v>
      </c>
      <c r="O12" s="688">
        <v>-822.74142228000005</v>
      </c>
      <c r="P12" s="239">
        <v>-870.35917874999996</v>
      </c>
      <c r="S12" s="39"/>
      <c r="T12" s="39"/>
    </row>
    <row r="13" spans="1:20" s="9" customFormat="1" ht="24" customHeight="1" x14ac:dyDescent="0.25">
      <c r="B13" s="323" t="s">
        <v>187</v>
      </c>
      <c r="C13" s="223">
        <v>-93.546999999999997</v>
      </c>
      <c r="D13" s="223">
        <v>-94.395492999999988</v>
      </c>
      <c r="E13" s="223">
        <v>-94.291753999999997</v>
      </c>
      <c r="F13" s="223">
        <v>-104.846</v>
      </c>
      <c r="G13" s="223">
        <v>-91.264696119999996</v>
      </c>
      <c r="H13" s="223">
        <v>-96.511590500000011</v>
      </c>
      <c r="I13" s="740">
        <v>-99.817747249999996</v>
      </c>
      <c r="J13" s="740">
        <v>-113.06530776</v>
      </c>
      <c r="K13" s="813">
        <v>-99.093000000000004</v>
      </c>
      <c r="L13" s="813">
        <v>-103.46299999999999</v>
      </c>
      <c r="M13" s="813">
        <v>-99.442999999999998</v>
      </c>
      <c r="N13" s="913">
        <v>-125.33517875000001</v>
      </c>
      <c r="O13" s="813">
        <v>-400.65934162999997</v>
      </c>
      <c r="P13" s="717">
        <v>-427.33417874999998</v>
      </c>
      <c r="S13" s="39"/>
      <c r="T13" s="39"/>
    </row>
    <row r="14" spans="1:20" s="9" customFormat="1" ht="24" customHeight="1" x14ac:dyDescent="0.25">
      <c r="B14" s="323" t="s">
        <v>169</v>
      </c>
      <c r="C14" s="223">
        <v>-83.156999999999996</v>
      </c>
      <c r="D14" s="223">
        <v>-78.429000000000002</v>
      </c>
      <c r="E14" s="223">
        <v>-73.708000000000013</v>
      </c>
      <c r="F14" s="223">
        <v>-64.234999999999999</v>
      </c>
      <c r="G14" s="223">
        <v>-72.945999999999998</v>
      </c>
      <c r="H14" s="223">
        <v>-73.254999999999995</v>
      </c>
      <c r="I14" s="740">
        <v>-75.398843909999997</v>
      </c>
      <c r="J14" s="740">
        <v>-81.564000000000007</v>
      </c>
      <c r="K14" s="740">
        <v>-91.33</v>
      </c>
      <c r="L14" s="740">
        <v>-72.232000000000014</v>
      </c>
      <c r="M14" s="740">
        <v>-73.61</v>
      </c>
      <c r="N14" s="914">
        <v>-74.294999999999987</v>
      </c>
      <c r="O14" s="740">
        <v>-303.16384391000003</v>
      </c>
      <c r="P14" s="718">
        <v>-311.46699999999998</v>
      </c>
      <c r="S14" s="39"/>
      <c r="T14" s="39"/>
    </row>
    <row r="15" spans="1:20" s="9" customFormat="1" ht="24" customHeight="1" x14ac:dyDescent="0.25">
      <c r="B15" s="323" t="s">
        <v>188</v>
      </c>
      <c r="C15" s="223">
        <v>-26.146999999999998</v>
      </c>
      <c r="D15" s="223">
        <v>-26.212</v>
      </c>
      <c r="E15" s="223">
        <v>-26.484999999999999</v>
      </c>
      <c r="F15" s="223">
        <v>-27.077999999999999</v>
      </c>
      <c r="G15" s="223">
        <v>-28.614999999999998</v>
      </c>
      <c r="H15" s="223">
        <v>-29.193999999999999</v>
      </c>
      <c r="I15" s="740">
        <v>-30.551236739999993</v>
      </c>
      <c r="J15" s="740">
        <v>-30.558</v>
      </c>
      <c r="K15" s="814">
        <v>-31.151</v>
      </c>
      <c r="L15" s="814">
        <v>-32.353000000000002</v>
      </c>
      <c r="M15" s="814">
        <v>-33.377000000000002</v>
      </c>
      <c r="N15" s="915">
        <v>-34.677</v>
      </c>
      <c r="O15" s="814">
        <v>-118.91823674</v>
      </c>
      <c r="P15" s="241">
        <v>-131.55799999999999</v>
      </c>
      <c r="S15" s="39"/>
      <c r="T15" s="39"/>
    </row>
    <row r="16" spans="1:20" s="9" customFormat="1" ht="24" customHeight="1" x14ac:dyDescent="0.25">
      <c r="B16" s="232" t="s">
        <v>677</v>
      </c>
      <c r="C16" s="144">
        <v>-35.677000000000007</v>
      </c>
      <c r="D16" s="221">
        <v>-68.966475719999991</v>
      </c>
      <c r="E16" s="221">
        <v>-47.152999999999992</v>
      </c>
      <c r="F16" s="221">
        <v>-24.976000000000006</v>
      </c>
      <c r="G16" s="221">
        <v>-15.423</v>
      </c>
      <c r="H16" s="221">
        <v>-19.857999999999997</v>
      </c>
      <c r="I16" s="688">
        <v>-31.755784480000003</v>
      </c>
      <c r="J16" s="688">
        <v>-15.779000000000012</v>
      </c>
      <c r="K16" s="224">
        <v>-14.051887050000003</v>
      </c>
      <c r="L16" s="224">
        <v>-49.821267639999995</v>
      </c>
      <c r="M16" s="224">
        <v>-50.864216650000003</v>
      </c>
      <c r="N16" s="916">
        <v>-33.110071969999993</v>
      </c>
      <c r="O16" s="224">
        <v>-82.815784480000005</v>
      </c>
      <c r="P16" s="715">
        <v>-147.84744330999999</v>
      </c>
      <c r="S16" s="39"/>
      <c r="T16" s="39"/>
    </row>
    <row r="17" spans="2:20" s="9" customFormat="1" ht="24" customHeight="1" x14ac:dyDescent="0.25">
      <c r="B17" s="232" t="s">
        <v>276</v>
      </c>
      <c r="C17" s="222">
        <v>-26.088285000000003</v>
      </c>
      <c r="D17" s="221">
        <v>-20.325688550000002</v>
      </c>
      <c r="E17" s="221">
        <v>-17.27913315</v>
      </c>
      <c r="F17" s="221">
        <v>-16.852737560000001</v>
      </c>
      <c r="G17" s="221">
        <v>-20.556513000000002</v>
      </c>
      <c r="H17" s="221">
        <v>-14.782999999999999</v>
      </c>
      <c r="I17" s="688">
        <v>-11.299293</v>
      </c>
      <c r="J17" s="688">
        <v>-15.120611999999999</v>
      </c>
      <c r="K17" s="688">
        <v>-11.106499999999999</v>
      </c>
      <c r="L17" s="688">
        <v>-10.156400000000001</v>
      </c>
      <c r="M17" s="688">
        <v>-8.3701893700000021</v>
      </c>
      <c r="N17" s="817">
        <v>-12.67141382</v>
      </c>
      <c r="O17" s="688">
        <v>-61.759418000000004</v>
      </c>
      <c r="P17" s="239">
        <v>-42.304503190000005</v>
      </c>
      <c r="S17" s="39"/>
      <c r="T17" s="39"/>
    </row>
    <row r="18" spans="2:20" s="9" customFormat="1" ht="24" customHeight="1" x14ac:dyDescent="0.25">
      <c r="B18" s="232" t="s">
        <v>275</v>
      </c>
      <c r="C18" s="222">
        <v>-12.867715</v>
      </c>
      <c r="D18" s="221">
        <v>-12.93672172</v>
      </c>
      <c r="E18" s="221">
        <v>-11.244866849999999</v>
      </c>
      <c r="F18" s="221">
        <v>-11.165262439999999</v>
      </c>
      <c r="G18" s="221">
        <v>-10.354487000000001</v>
      </c>
      <c r="H18" s="221">
        <v>-8.6199999999999992</v>
      </c>
      <c r="I18" s="688">
        <v>-8.6597069999999992</v>
      </c>
      <c r="J18" s="688">
        <v>-9.9543879999999998</v>
      </c>
      <c r="K18" s="224">
        <v>-9.6455000000000002</v>
      </c>
      <c r="L18" s="224">
        <v>-9.0335999999999999</v>
      </c>
      <c r="M18" s="224">
        <v>-7.9828106300000004</v>
      </c>
      <c r="N18" s="916">
        <v>-8.47658618</v>
      </c>
      <c r="O18" s="224">
        <v>-37.588582000000002</v>
      </c>
      <c r="P18" s="715">
        <v>-35.138496809999999</v>
      </c>
      <c r="S18" s="39"/>
      <c r="T18" s="39"/>
    </row>
    <row r="19" spans="2:20" s="9" customFormat="1" ht="24" customHeight="1" x14ac:dyDescent="0.25">
      <c r="B19" s="143" t="s">
        <v>710</v>
      </c>
      <c r="C19" s="144">
        <v>-10.359000000000002</v>
      </c>
      <c r="D19" s="221">
        <v>-32.141000000000005</v>
      </c>
      <c r="E19" s="221">
        <v>-17.818999999999996</v>
      </c>
      <c r="F19" s="221">
        <v>-38.191000000000003</v>
      </c>
      <c r="G19" s="221">
        <v>-28.539000000000001</v>
      </c>
      <c r="H19" s="221">
        <v>-15.302</v>
      </c>
      <c r="I19" s="688">
        <v>-12.436441019999997</v>
      </c>
      <c r="J19" s="688">
        <v>-22.956999999999994</v>
      </c>
      <c r="K19" s="688">
        <v>-2.9323449999999998</v>
      </c>
      <c r="L19" s="688">
        <v>-2.355731</v>
      </c>
      <c r="M19" s="688">
        <v>-7.8067329999999941</v>
      </c>
      <c r="N19" s="817">
        <v>-18.475208720000005</v>
      </c>
      <c r="O19" s="688">
        <v>-79.234441019999991</v>
      </c>
      <c r="P19" s="716">
        <v>-31.570017720000003</v>
      </c>
      <c r="S19" s="39"/>
      <c r="T19" s="39"/>
    </row>
    <row r="20" spans="2:20" s="9" customFormat="1" ht="24" customHeight="1" x14ac:dyDescent="0.25">
      <c r="B20" s="232" t="s">
        <v>189</v>
      </c>
      <c r="C20" s="222">
        <v>-10.638999999999999</v>
      </c>
      <c r="D20" s="221">
        <v>-11.848000000000001</v>
      </c>
      <c r="E20" s="221">
        <v>15.715</v>
      </c>
      <c r="F20" s="221">
        <v>-8.4480000000000004</v>
      </c>
      <c r="G20" s="221">
        <v>22.515000000000001</v>
      </c>
      <c r="H20" s="688">
        <v>-12.048</v>
      </c>
      <c r="I20" s="224">
        <v>-4.3310000000000004</v>
      </c>
      <c r="J20" s="688">
        <v>-1.2849999999999999</v>
      </c>
      <c r="K20" s="688">
        <v>-5.407</v>
      </c>
      <c r="L20" s="688">
        <v>-10.372</v>
      </c>
      <c r="M20" s="688">
        <v>15.792999999999999</v>
      </c>
      <c r="N20" s="817">
        <v>-24.640283495801697</v>
      </c>
      <c r="O20" s="688">
        <v>4.851</v>
      </c>
      <c r="P20" s="239">
        <v>-24.626283495801694</v>
      </c>
      <c r="S20" s="39"/>
      <c r="T20" s="39"/>
    </row>
    <row r="21" spans="2:20" s="9" customFormat="1" ht="24" customHeight="1" x14ac:dyDescent="0.25">
      <c r="B21" s="747" t="s">
        <v>453</v>
      </c>
      <c r="C21" s="744">
        <f t="shared" ref="C21:L21" si="0">SUM(C10:C12)+SUM(C16:C20)</f>
        <v>270.03100000000001</v>
      </c>
      <c r="D21" s="744">
        <f t="shared" si="0"/>
        <v>283.95162101000005</v>
      </c>
      <c r="E21" s="744">
        <f t="shared" si="0"/>
        <v>399.06224599999996</v>
      </c>
      <c r="F21" s="744">
        <f t="shared" si="0"/>
        <v>384.45899999999995</v>
      </c>
      <c r="G21" s="744">
        <f t="shared" si="0"/>
        <v>417.76530387999986</v>
      </c>
      <c r="H21" s="744">
        <f t="shared" si="0"/>
        <v>425.27551749999998</v>
      </c>
      <c r="I21" s="744">
        <f t="shared" si="0"/>
        <v>411.15203882000014</v>
      </c>
      <c r="J21" s="744">
        <f t="shared" si="0"/>
        <v>390.5856922399999</v>
      </c>
      <c r="K21" s="772">
        <f>SUM(K10:K12)+SUM(K16:K20)</f>
        <v>375.95776794999995</v>
      </c>
      <c r="L21" s="772">
        <f t="shared" si="0"/>
        <v>349.31100135999998</v>
      </c>
      <c r="M21" s="744">
        <f>SUM(M10:M12)+SUM(M16:M20)</f>
        <v>369.43405035000001</v>
      </c>
      <c r="N21" s="772">
        <f>SUM(N10:N12)+SUM(N16:N20)</f>
        <v>351.66525106419834</v>
      </c>
      <c r="O21" s="772">
        <f>SUM(O10:O12)+SUM(O16:O20)</f>
        <v>1644.7785524399999</v>
      </c>
      <c r="P21" s="752">
        <f>SUM(P10:P12)+SUM(P16:P20)</f>
        <v>1446.3680707241981</v>
      </c>
      <c r="S21" s="39"/>
      <c r="T21" s="39"/>
    </row>
    <row r="22" spans="2:20" s="9" customFormat="1" ht="24" customHeight="1" x14ac:dyDescent="0.25">
      <c r="B22" s="231" t="s">
        <v>122</v>
      </c>
      <c r="C22" s="221">
        <v>-75.64</v>
      </c>
      <c r="D22" s="221">
        <v>-14.627000000000001</v>
      </c>
      <c r="E22" s="221">
        <v>-102.38800000000001</v>
      </c>
      <c r="F22" s="221">
        <v>-99.454999999999998</v>
      </c>
      <c r="G22" s="221">
        <v>-91.998000000000005</v>
      </c>
      <c r="H22" s="688">
        <v>-120.983</v>
      </c>
      <c r="I22" s="688">
        <v>-114.39580782999995</v>
      </c>
      <c r="J22" s="688">
        <v>-42.829000000000001</v>
      </c>
      <c r="K22" s="688">
        <v>-100.398</v>
      </c>
      <c r="L22" s="688">
        <v>-96.962000000000003</v>
      </c>
      <c r="M22" s="224">
        <v>-91.867999999999995</v>
      </c>
      <c r="N22" s="817">
        <v>-26.966000000000001</v>
      </c>
      <c r="O22" s="688">
        <v>-370.20580782999997</v>
      </c>
      <c r="P22" s="239">
        <v>-316.19400000000002</v>
      </c>
      <c r="S22" s="39"/>
      <c r="T22" s="39"/>
    </row>
    <row r="23" spans="2:20" s="9" customFormat="1" ht="24" customHeight="1" x14ac:dyDescent="0.25">
      <c r="B23" s="231" t="s">
        <v>158</v>
      </c>
      <c r="C23" s="225">
        <v>-75.64</v>
      </c>
      <c r="D23" s="225">
        <v>-79.180905252499997</v>
      </c>
      <c r="E23" s="221">
        <v>-102.38800000000001</v>
      </c>
      <c r="F23" s="221">
        <v>-99.454999999999998</v>
      </c>
      <c r="G23" s="221">
        <v>-110.8582381252</v>
      </c>
      <c r="H23" s="221">
        <v>-118.76175007500001</v>
      </c>
      <c r="I23" s="741">
        <v>-114.92856914999996</v>
      </c>
      <c r="J23" s="741">
        <v>-104.7685607496</v>
      </c>
      <c r="K23" s="688">
        <v>-101.06696270549999</v>
      </c>
      <c r="L23" s="688">
        <v>-104.6011803944</v>
      </c>
      <c r="M23" s="688">
        <v>-101.18629460149999</v>
      </c>
      <c r="N23" s="817">
        <v>-60.751944548617502</v>
      </c>
      <c r="O23" s="688">
        <v>-449.31711809979998</v>
      </c>
      <c r="P23" s="239">
        <v>-367.60638225001753</v>
      </c>
      <c r="R23" s="39"/>
      <c r="S23" s="39"/>
      <c r="T23" s="39"/>
    </row>
    <row r="24" spans="2:20" s="9" customFormat="1" ht="24" customHeight="1" x14ac:dyDescent="0.25">
      <c r="B24" s="143" t="s">
        <v>133</v>
      </c>
      <c r="C24" s="226">
        <v>1.0289999999999999</v>
      </c>
      <c r="D24" s="226">
        <v>0.56000000000000005</v>
      </c>
      <c r="E24" s="221">
        <v>0.41099999999999998</v>
      </c>
      <c r="F24" s="226">
        <v>-0.32400000000000001</v>
      </c>
      <c r="G24" s="226">
        <v>0.186</v>
      </c>
      <c r="H24" s="234">
        <v>-1.17</v>
      </c>
      <c r="I24" s="234">
        <v>0.1746048999999999</v>
      </c>
      <c r="J24" s="234">
        <v>0.97</v>
      </c>
      <c r="K24" s="234">
        <v>1.6850000000000001</v>
      </c>
      <c r="L24" s="743">
        <v>1.621</v>
      </c>
      <c r="M24" s="743">
        <v>1.925</v>
      </c>
      <c r="N24" s="917">
        <v>2.831</v>
      </c>
      <c r="O24" s="234">
        <v>0.16060489999999983</v>
      </c>
      <c r="P24" s="242">
        <v>8.0619999999999994</v>
      </c>
      <c r="S24" s="39"/>
      <c r="T24" s="39"/>
    </row>
    <row r="25" spans="2:20" s="9" customFormat="1" ht="24" customHeight="1" x14ac:dyDescent="0.25">
      <c r="B25" s="747" t="s">
        <v>190</v>
      </c>
      <c r="C25" s="744">
        <f t="shared" ref="C25:O25" si="1">C21+C23+C24</f>
        <v>195.42000000000002</v>
      </c>
      <c r="D25" s="744">
        <f t="shared" si="1"/>
        <v>205.33071575750006</v>
      </c>
      <c r="E25" s="744">
        <f t="shared" si="1"/>
        <v>297.08524599999993</v>
      </c>
      <c r="F25" s="744">
        <f t="shared" si="1"/>
        <v>284.67999999999995</v>
      </c>
      <c r="G25" s="744">
        <f t="shared" si="1"/>
        <v>307.09306575479985</v>
      </c>
      <c r="H25" s="744">
        <f t="shared" si="1"/>
        <v>305.34376742499995</v>
      </c>
      <c r="I25" s="744">
        <f t="shared" si="1"/>
        <v>296.39807457000023</v>
      </c>
      <c r="J25" s="744">
        <f t="shared" si="1"/>
        <v>286.78713149039993</v>
      </c>
      <c r="K25" s="744">
        <f>K21+K23+K24</f>
        <v>276.57580524449997</v>
      </c>
      <c r="L25" s="744">
        <f>L21+L23+L24</f>
        <v>246.3308209656</v>
      </c>
      <c r="M25" s="744">
        <f>M21+M23+M24</f>
        <v>270.17275574850004</v>
      </c>
      <c r="N25" s="744">
        <f>N21+N23+N24</f>
        <v>293.74430651558089</v>
      </c>
      <c r="O25" s="744">
        <f t="shared" si="1"/>
        <v>1195.6220392401999</v>
      </c>
      <c r="P25" s="746">
        <f>P21+P23+P24</f>
        <v>1086.8236884741805</v>
      </c>
      <c r="S25" s="39"/>
      <c r="T25" s="39"/>
    </row>
    <row r="26" spans="2:20" s="9" customFormat="1" ht="14.25" customHeight="1" x14ac:dyDescent="0.25">
      <c r="B26" s="235"/>
      <c r="C26" s="201"/>
      <c r="D26" s="201"/>
      <c r="E26" s="201"/>
      <c r="F26" s="201"/>
      <c r="G26" s="201"/>
      <c r="H26" s="201"/>
      <c r="I26" s="201"/>
      <c r="J26" s="201"/>
      <c r="K26" s="201"/>
      <c r="L26" s="201"/>
      <c r="M26" s="201"/>
      <c r="N26" s="201"/>
      <c r="O26" s="201"/>
      <c r="P26" s="236"/>
      <c r="S26" s="39"/>
      <c r="T26" s="39"/>
    </row>
    <row r="27" spans="2:20" s="9" customFormat="1" ht="24" customHeight="1" x14ac:dyDescent="0.25">
      <c r="B27" s="253" t="s">
        <v>257</v>
      </c>
      <c r="C27" s="254">
        <v>-13.125</v>
      </c>
      <c r="D27" s="254">
        <v>-13.125</v>
      </c>
      <c r="E27" s="254">
        <v>-13.125</v>
      </c>
      <c r="F27" s="254">
        <v>-13.125</v>
      </c>
      <c r="G27" s="254">
        <v>-13.125</v>
      </c>
      <c r="H27" s="254">
        <v>-13.125</v>
      </c>
      <c r="I27" s="254">
        <v>-13.125</v>
      </c>
      <c r="J27" s="254">
        <v>-13.125</v>
      </c>
      <c r="K27" s="254">
        <v>-13.125</v>
      </c>
      <c r="L27" s="254">
        <v>-13.125</v>
      </c>
      <c r="M27" s="254">
        <v>-19.875</v>
      </c>
      <c r="N27" s="254">
        <v>-20.399999999999999</v>
      </c>
      <c r="O27" s="254">
        <f>G27+H27+I27+J27</f>
        <v>-52.5</v>
      </c>
      <c r="P27" s="255">
        <f>K27+L27+M27+N27</f>
        <v>-66.525000000000006</v>
      </c>
      <c r="R27" s="40"/>
      <c r="S27" s="39"/>
      <c r="T27" s="39"/>
    </row>
    <row r="28" spans="2:20" s="9" customFormat="1" ht="24" customHeight="1" x14ac:dyDescent="0.25">
      <c r="B28" s="243" t="s">
        <v>258</v>
      </c>
      <c r="C28" s="244">
        <f t="shared" ref="C28:P28" si="2">C25+C27</f>
        <v>182.29500000000002</v>
      </c>
      <c r="D28" s="244">
        <f t="shared" si="2"/>
        <v>192.20571575750006</v>
      </c>
      <c r="E28" s="244">
        <f t="shared" si="2"/>
        <v>283.96024599999993</v>
      </c>
      <c r="F28" s="244">
        <f t="shared" si="2"/>
        <v>271.55499999999995</v>
      </c>
      <c r="G28" s="244">
        <f t="shared" si="2"/>
        <v>293.96806575479985</v>
      </c>
      <c r="H28" s="244">
        <f t="shared" si="2"/>
        <v>292.21876742499995</v>
      </c>
      <c r="I28" s="244">
        <f t="shared" si="2"/>
        <v>283.27307457000023</v>
      </c>
      <c r="J28" s="244">
        <f t="shared" si="2"/>
        <v>273.66213149039993</v>
      </c>
      <c r="K28" s="815">
        <f t="shared" si="2"/>
        <v>263.45080524449997</v>
      </c>
      <c r="L28" s="815">
        <f t="shared" si="2"/>
        <v>233.2058209656</v>
      </c>
      <c r="M28" s="815">
        <f t="shared" si="2"/>
        <v>250.29775574850004</v>
      </c>
      <c r="N28" s="815">
        <f t="shared" si="2"/>
        <v>273.34430651558091</v>
      </c>
      <c r="O28" s="815">
        <f>O25+O27</f>
        <v>1143.1220392401999</v>
      </c>
      <c r="P28" s="745">
        <f t="shared" si="2"/>
        <v>1020.2986884741805</v>
      </c>
      <c r="S28" s="39"/>
      <c r="T28" s="39"/>
    </row>
    <row r="29" spans="2:20" s="9" customFormat="1" ht="24" customHeight="1" x14ac:dyDescent="0.25">
      <c r="B29" s="256" t="s">
        <v>138</v>
      </c>
      <c r="C29" s="257">
        <f t="shared" ref="C29:P29" si="3">C28/C53</f>
        <v>0.14583654309528649</v>
      </c>
      <c r="D29" s="257">
        <f t="shared" si="3"/>
        <v>0.15384563928870779</v>
      </c>
      <c r="E29" s="257">
        <f t="shared" si="3"/>
        <v>0.22827031693492489</v>
      </c>
      <c r="F29" s="257">
        <f t="shared" si="3"/>
        <v>0.21809505961438166</v>
      </c>
      <c r="G29" s="257">
        <f t="shared" si="3"/>
        <v>0.23594955898572542</v>
      </c>
      <c r="H29" s="257">
        <f t="shared" si="3"/>
        <v>0.23467390454597301</v>
      </c>
      <c r="I29" s="257">
        <f t="shared" si="3"/>
        <v>0.22723242184515863</v>
      </c>
      <c r="J29" s="257">
        <f t="shared" si="3"/>
        <v>0.21962588745371972</v>
      </c>
      <c r="K29" s="257">
        <f t="shared" si="3"/>
        <v>0.21119179359384932</v>
      </c>
      <c r="L29" s="257">
        <f t="shared" si="3"/>
        <v>0.18692723399521441</v>
      </c>
      <c r="M29" s="257">
        <f t="shared" si="3"/>
        <v>0.20056099339818048</v>
      </c>
      <c r="N29" s="257">
        <f t="shared" si="3"/>
        <v>0.22222601713379736</v>
      </c>
      <c r="O29" s="257">
        <f t="shared" si="3"/>
        <v>0.91740567454011035</v>
      </c>
      <c r="P29" s="714">
        <f t="shared" si="3"/>
        <v>0.82949199387670425</v>
      </c>
      <c r="S29" s="39"/>
      <c r="T29" s="39"/>
    </row>
    <row r="30" spans="2:20" s="9" customFormat="1" ht="14.25" customHeight="1" x14ac:dyDescent="0.25">
      <c r="B30" s="235"/>
      <c r="C30" s="201"/>
      <c r="D30" s="201"/>
      <c r="E30" s="201"/>
      <c r="F30" s="201"/>
      <c r="G30" s="201"/>
      <c r="H30" s="201"/>
      <c r="I30" s="201"/>
      <c r="J30" s="201"/>
      <c r="K30" s="201"/>
      <c r="L30" s="201"/>
      <c r="M30" s="201"/>
      <c r="N30" s="201"/>
      <c r="O30" s="201"/>
      <c r="P30" s="236"/>
      <c r="S30" s="39"/>
      <c r="T30" s="39"/>
    </row>
    <row r="31" spans="2:20" s="9" customFormat="1" ht="24" customHeight="1" x14ac:dyDescent="0.25">
      <c r="B31" s="747" t="s">
        <v>190</v>
      </c>
      <c r="C31" s="744">
        <f t="shared" ref="C31:P31" si="4">C25</f>
        <v>195.42000000000002</v>
      </c>
      <c r="D31" s="744">
        <f t="shared" si="4"/>
        <v>205.33071575750006</v>
      </c>
      <c r="E31" s="744">
        <f t="shared" si="4"/>
        <v>297.08524599999993</v>
      </c>
      <c r="F31" s="744">
        <f t="shared" si="4"/>
        <v>284.67999999999995</v>
      </c>
      <c r="G31" s="744">
        <f t="shared" si="4"/>
        <v>307.09306575479985</v>
      </c>
      <c r="H31" s="744">
        <f t="shared" si="4"/>
        <v>305.34376742499995</v>
      </c>
      <c r="I31" s="744">
        <f t="shared" si="4"/>
        <v>296.39807457000023</v>
      </c>
      <c r="J31" s="744">
        <f t="shared" si="4"/>
        <v>286.78713149039993</v>
      </c>
      <c r="K31" s="744">
        <f>K25</f>
        <v>276.57580524449997</v>
      </c>
      <c r="L31" s="744">
        <f t="shared" si="4"/>
        <v>246.3308209656</v>
      </c>
      <c r="M31" s="744">
        <f t="shared" si="4"/>
        <v>270.17275574850004</v>
      </c>
      <c r="N31" s="744">
        <f>N25</f>
        <v>293.74430651558089</v>
      </c>
      <c r="O31" s="744">
        <f t="shared" si="4"/>
        <v>1195.6220392401999</v>
      </c>
      <c r="P31" s="746">
        <f t="shared" si="4"/>
        <v>1086.8236884741805</v>
      </c>
      <c r="S31" s="39"/>
      <c r="T31" s="39"/>
    </row>
    <row r="32" spans="2:20" s="9" customFormat="1" ht="24" customHeight="1" x14ac:dyDescent="0.25">
      <c r="B32" s="232" t="s">
        <v>711</v>
      </c>
      <c r="C32" s="245">
        <v>9.7540000000000013</v>
      </c>
      <c r="D32" s="245">
        <v>29.241999999999997</v>
      </c>
      <c r="E32" s="245">
        <v>-7.8949999999999996</v>
      </c>
      <c r="F32" s="245">
        <v>31.995000000000001</v>
      </c>
      <c r="G32" s="245">
        <v>-4.4270000000000005</v>
      </c>
      <c r="H32" s="245">
        <v>7.47</v>
      </c>
      <c r="I32" s="741">
        <v>33.253386879999915</v>
      </c>
      <c r="J32" s="741">
        <v>28.351999999999997</v>
      </c>
      <c r="K32" s="741">
        <v>18.872999999999998</v>
      </c>
      <c r="L32" s="741">
        <v>47.170999999999999</v>
      </c>
      <c r="M32" s="741">
        <v>18.641000000000002</v>
      </c>
      <c r="N32" s="816">
        <v>34.754941228987974</v>
      </c>
      <c r="O32" s="741">
        <v>64.648386879999919</v>
      </c>
      <c r="P32" s="719">
        <v>119.43994122898798</v>
      </c>
      <c r="S32" s="39"/>
      <c r="T32" s="39"/>
    </row>
    <row r="33" spans="2:22" s="9" customFormat="1" ht="24" customHeight="1" x14ac:dyDescent="0.25">
      <c r="B33" s="232" t="s">
        <v>712</v>
      </c>
      <c r="C33" s="144">
        <v>-1.48</v>
      </c>
      <c r="D33" s="144">
        <v>3.5300000000000002</v>
      </c>
      <c r="E33" s="144">
        <v>-10.244999999999999</v>
      </c>
      <c r="F33" s="144">
        <v>9.7259999999999991</v>
      </c>
      <c r="G33" s="144">
        <v>-23.358999999999995</v>
      </c>
      <c r="H33" s="145">
        <v>11.755000000000001</v>
      </c>
      <c r="I33" s="145">
        <v>-9.9486770399999891</v>
      </c>
      <c r="J33" s="145">
        <v>20.843</v>
      </c>
      <c r="K33" s="145">
        <v>-10.088000000000001</v>
      </c>
      <c r="L33" s="688">
        <v>0.70700000000000007</v>
      </c>
      <c r="M33" s="688">
        <v>-5.3029999999999999</v>
      </c>
      <c r="N33" s="918">
        <v>4.4050060000000002</v>
      </c>
      <c r="O33" s="145">
        <v>-0.70967703999999543</v>
      </c>
      <c r="P33" s="240">
        <v>-10.278994000000001</v>
      </c>
      <c r="S33" s="39"/>
      <c r="T33" s="39"/>
    </row>
    <row r="34" spans="2:22" s="9" customFormat="1" ht="24" customHeight="1" x14ac:dyDescent="0.25">
      <c r="B34" s="747" t="s">
        <v>713</v>
      </c>
      <c r="C34" s="744">
        <f t="shared" ref="C34:P34" si="5">C31+C32+C33</f>
        <v>203.69400000000002</v>
      </c>
      <c r="D34" s="744">
        <f t="shared" si="5"/>
        <v>238.10271575750005</v>
      </c>
      <c r="E34" s="744">
        <f t="shared" si="5"/>
        <v>278.94524599999994</v>
      </c>
      <c r="F34" s="744">
        <f t="shared" si="5"/>
        <v>326.40099999999995</v>
      </c>
      <c r="G34" s="744">
        <f t="shared" si="5"/>
        <v>279.30706575479985</v>
      </c>
      <c r="H34" s="744">
        <f t="shared" si="5"/>
        <v>324.56876742499998</v>
      </c>
      <c r="I34" s="744">
        <f t="shared" si="5"/>
        <v>319.70278441000016</v>
      </c>
      <c r="J34" s="744">
        <f t="shared" si="5"/>
        <v>335.98213149039992</v>
      </c>
      <c r="K34" s="744">
        <f>K31+K32+K33</f>
        <v>285.36080524449994</v>
      </c>
      <c r="L34" s="744">
        <f t="shared" si="5"/>
        <v>294.20882096560001</v>
      </c>
      <c r="M34" s="744">
        <f t="shared" si="5"/>
        <v>283.51075574850006</v>
      </c>
      <c r="N34" s="744">
        <f t="shared" si="5"/>
        <v>332.90425374456885</v>
      </c>
      <c r="O34" s="744">
        <f>O31+O32+O33</f>
        <v>1259.5607490801997</v>
      </c>
      <c r="P34" s="746">
        <f t="shared" si="5"/>
        <v>1195.9846357031684</v>
      </c>
      <c r="S34" s="39"/>
      <c r="T34" s="39"/>
    </row>
    <row r="35" spans="2:22" s="9" customFormat="1" ht="14.25" customHeight="1" x14ac:dyDescent="0.25">
      <c r="B35" s="235"/>
      <c r="C35" s="201"/>
      <c r="D35" s="201"/>
      <c r="E35" s="201"/>
      <c r="F35" s="201"/>
      <c r="G35" s="201"/>
      <c r="H35" s="201"/>
      <c r="I35" s="201"/>
      <c r="J35" s="201"/>
      <c r="K35" s="201"/>
      <c r="L35" s="201"/>
      <c r="M35" s="201"/>
      <c r="N35" s="201"/>
      <c r="O35" s="201"/>
      <c r="P35" s="236"/>
      <c r="S35" s="39"/>
      <c r="T35" s="39"/>
    </row>
    <row r="36" spans="2:22" s="9" customFormat="1" ht="24" customHeight="1" x14ac:dyDescent="0.25">
      <c r="B36" s="253" t="s">
        <v>191</v>
      </c>
      <c r="C36" s="254">
        <v>-13.125</v>
      </c>
      <c r="D36" s="254">
        <v>-13.125</v>
      </c>
      <c r="E36" s="254">
        <v>-13.125</v>
      </c>
      <c r="F36" s="254">
        <v>-13.125</v>
      </c>
      <c r="G36" s="254">
        <v>-13.125</v>
      </c>
      <c r="H36" s="254">
        <v>-13.125</v>
      </c>
      <c r="I36" s="254">
        <v>-13.125</v>
      </c>
      <c r="J36" s="254">
        <v>-13.125</v>
      </c>
      <c r="K36" s="254">
        <v>-13.125</v>
      </c>
      <c r="L36" s="254">
        <v>-13.125</v>
      </c>
      <c r="M36" s="254">
        <f>-19.875</f>
        <v>-19.875</v>
      </c>
      <c r="N36" s="254">
        <v>-20.399999999999999</v>
      </c>
      <c r="O36" s="254">
        <f>G36+H36+I36+J36</f>
        <v>-52.5</v>
      </c>
      <c r="P36" s="255">
        <f>K36+L36+M36+N36</f>
        <v>-66.525000000000006</v>
      </c>
      <c r="S36" s="39"/>
      <c r="T36" s="39"/>
    </row>
    <row r="37" spans="2:22" s="9" customFormat="1" ht="24" customHeight="1" x14ac:dyDescent="0.25">
      <c r="B37" s="243" t="s">
        <v>192</v>
      </c>
      <c r="C37" s="244">
        <f t="shared" ref="C37:P37" si="6">C34+C36</f>
        <v>190.56900000000002</v>
      </c>
      <c r="D37" s="244">
        <f t="shared" si="6"/>
        <v>224.97771575750005</v>
      </c>
      <c r="E37" s="244">
        <f t="shared" si="6"/>
        <v>265.82024599999994</v>
      </c>
      <c r="F37" s="244">
        <f t="shared" si="6"/>
        <v>313.27599999999995</v>
      </c>
      <c r="G37" s="244">
        <f t="shared" si="6"/>
        <v>266.18206575479985</v>
      </c>
      <c r="H37" s="244">
        <f t="shared" si="6"/>
        <v>311.44376742499998</v>
      </c>
      <c r="I37" s="244">
        <f t="shared" si="6"/>
        <v>306.57778441000016</v>
      </c>
      <c r="J37" s="244">
        <f t="shared" si="6"/>
        <v>322.85713149039992</v>
      </c>
      <c r="K37" s="815">
        <f t="shared" si="6"/>
        <v>272.23580524449994</v>
      </c>
      <c r="L37" s="815">
        <f t="shared" si="6"/>
        <v>281.08382096560001</v>
      </c>
      <c r="M37" s="815">
        <f t="shared" si="6"/>
        <v>263.63575574850006</v>
      </c>
      <c r="N37" s="815">
        <f t="shared" si="6"/>
        <v>312.50425374456887</v>
      </c>
      <c r="O37" s="815">
        <f t="shared" si="6"/>
        <v>1207.0607490801997</v>
      </c>
      <c r="P37" s="745">
        <f t="shared" si="6"/>
        <v>1129.4596357031683</v>
      </c>
      <c r="S37" s="39"/>
      <c r="T37" s="39"/>
    </row>
    <row r="38" spans="2:22" s="9" customFormat="1" ht="24" customHeight="1" x14ac:dyDescent="0.25">
      <c r="B38" s="256" t="s">
        <v>139</v>
      </c>
      <c r="C38" s="257">
        <f t="shared" ref="C38:P38" si="7">C37/C53</f>
        <v>0.15245576774527908</v>
      </c>
      <c r="D38" s="257">
        <f t="shared" si="7"/>
        <v>0.1800770615484425</v>
      </c>
      <c r="E38" s="257">
        <f t="shared" si="7"/>
        <v>0.21368791109632895</v>
      </c>
      <c r="F38" s="257">
        <f t="shared" si="7"/>
        <v>0.25160261418775215</v>
      </c>
      <c r="G38" s="257">
        <f t="shared" si="7"/>
        <v>0.21364749556552443</v>
      </c>
      <c r="H38" s="257">
        <f t="shared" si="7"/>
        <v>0.25011304233528103</v>
      </c>
      <c r="I38" s="257">
        <f t="shared" si="7"/>
        <v>0.24592670002666392</v>
      </c>
      <c r="J38" s="257">
        <f t="shared" si="7"/>
        <v>0.25910703698085025</v>
      </c>
      <c r="K38" s="257">
        <f t="shared" si="7"/>
        <v>0.21823417065168407</v>
      </c>
      <c r="L38" s="257">
        <f t="shared" si="7"/>
        <v>0.22530407241273848</v>
      </c>
      <c r="M38" s="257">
        <f t="shared" si="7"/>
        <v>0.21124859433948845</v>
      </c>
      <c r="N38" s="257">
        <f t="shared" si="7"/>
        <v>0.25406263818802677</v>
      </c>
      <c r="O38" s="257">
        <f t="shared" si="7"/>
        <v>0.96871929917198041</v>
      </c>
      <c r="P38" s="714">
        <f t="shared" si="7"/>
        <v>0.91823868422661958</v>
      </c>
      <c r="S38" s="39"/>
      <c r="T38" s="39"/>
    </row>
    <row r="39" spans="2:22" s="9" customFormat="1" ht="14.25" customHeight="1" x14ac:dyDescent="0.25">
      <c r="B39" s="235"/>
      <c r="C39" s="201"/>
      <c r="D39" s="201"/>
      <c r="E39" s="201"/>
      <c r="F39" s="201"/>
      <c r="G39" s="201"/>
      <c r="H39" s="201"/>
      <c r="I39" s="201"/>
      <c r="J39" s="201"/>
      <c r="K39" s="201"/>
      <c r="L39" s="201"/>
      <c r="M39" s="201"/>
      <c r="N39" s="201"/>
      <c r="O39" s="201"/>
      <c r="P39" s="236"/>
      <c r="S39" s="39"/>
      <c r="T39" s="39"/>
    </row>
    <row r="40" spans="2:22" s="9" customFormat="1" ht="24" customHeight="1" x14ac:dyDescent="0.25">
      <c r="B40" s="233" t="s">
        <v>714</v>
      </c>
      <c r="C40" s="744">
        <f t="shared" ref="C40:P40" si="8">C34</f>
        <v>203.69400000000002</v>
      </c>
      <c r="D40" s="744">
        <f t="shared" si="8"/>
        <v>238.10271575750005</v>
      </c>
      <c r="E40" s="744">
        <f t="shared" si="8"/>
        <v>278.94524599999994</v>
      </c>
      <c r="F40" s="744">
        <f t="shared" si="8"/>
        <v>326.40099999999995</v>
      </c>
      <c r="G40" s="744">
        <f t="shared" si="8"/>
        <v>279.30706575479985</v>
      </c>
      <c r="H40" s="744">
        <f t="shared" si="8"/>
        <v>324.56876742499998</v>
      </c>
      <c r="I40" s="744">
        <f t="shared" si="8"/>
        <v>319.70278441000016</v>
      </c>
      <c r="J40" s="744">
        <f t="shared" si="8"/>
        <v>335.98213149039992</v>
      </c>
      <c r="K40" s="744">
        <f>K34</f>
        <v>285.36080524449994</v>
      </c>
      <c r="L40" s="744">
        <f t="shared" si="8"/>
        <v>294.20882096560001</v>
      </c>
      <c r="M40" s="744">
        <f t="shared" si="8"/>
        <v>283.51075574850006</v>
      </c>
      <c r="N40" s="744">
        <f t="shared" si="8"/>
        <v>332.90425374456885</v>
      </c>
      <c r="O40" s="744">
        <f t="shared" si="8"/>
        <v>1259.5607490801997</v>
      </c>
      <c r="P40" s="746">
        <f t="shared" si="8"/>
        <v>1195.9846357031684</v>
      </c>
      <c r="R40" s="39"/>
      <c r="S40" s="39"/>
      <c r="T40" s="39"/>
      <c r="U40" s="35"/>
      <c r="V40" s="35"/>
    </row>
    <row r="41" spans="2:22" s="9" customFormat="1" ht="24" customHeight="1" x14ac:dyDescent="0.25">
      <c r="B41" s="232" t="s">
        <v>715</v>
      </c>
      <c r="C41" s="226">
        <v>0</v>
      </c>
      <c r="D41" s="226">
        <v>0</v>
      </c>
      <c r="E41" s="245">
        <v>0</v>
      </c>
      <c r="F41" s="245">
        <v>0</v>
      </c>
      <c r="G41" s="226">
        <v>-43.292000000000002</v>
      </c>
      <c r="H41" s="741">
        <v>11.949892</v>
      </c>
      <c r="I41" s="742">
        <v>0</v>
      </c>
      <c r="J41" s="234">
        <v>0</v>
      </c>
      <c r="K41" s="234">
        <v>0</v>
      </c>
      <c r="L41" s="234">
        <v>0</v>
      </c>
      <c r="M41" s="234">
        <v>0</v>
      </c>
      <c r="N41" s="917">
        <v>0</v>
      </c>
      <c r="O41" s="234">
        <v>-31.342108000000003</v>
      </c>
      <c r="P41" s="242">
        <v>0</v>
      </c>
      <c r="R41" s="39"/>
      <c r="S41" s="39"/>
      <c r="T41" s="39"/>
      <c r="U41" s="35"/>
      <c r="V41" s="35"/>
    </row>
    <row r="42" spans="2:22" s="9" customFormat="1" ht="24" customHeight="1" x14ac:dyDescent="0.25">
      <c r="B42" s="232" t="s">
        <v>716</v>
      </c>
      <c r="C42" s="245">
        <v>-3.1720000000000002</v>
      </c>
      <c r="D42" s="245">
        <v>-2.1745070000000002</v>
      </c>
      <c r="E42" s="245">
        <v>-1.5662459999999996</v>
      </c>
      <c r="F42" s="245">
        <v>-63.649000000000001</v>
      </c>
      <c r="G42" s="245">
        <v>-9.6033038800000003</v>
      </c>
      <c r="H42" s="246">
        <v>-4.2904095</v>
      </c>
      <c r="I42" s="246">
        <v>-1.837108</v>
      </c>
      <c r="J42" s="246">
        <v>-38.653692239999998</v>
      </c>
      <c r="K42" s="246">
        <v>-2.4</v>
      </c>
      <c r="L42" s="246">
        <v>-3.8</v>
      </c>
      <c r="M42" s="246">
        <v>-4.8</v>
      </c>
      <c r="N42" s="1021">
        <v>-21.463821250000002</v>
      </c>
      <c r="O42" s="246">
        <v>-54.38451362</v>
      </c>
      <c r="P42" s="247">
        <v>-32.463821250000002</v>
      </c>
      <c r="R42" s="39"/>
      <c r="S42" s="39"/>
      <c r="T42" s="39"/>
      <c r="U42" s="35"/>
      <c r="V42" s="35"/>
    </row>
    <row r="43" spans="2:22" s="9" customFormat="1" ht="24" customHeight="1" x14ac:dyDescent="0.25">
      <c r="B43" s="232" t="s">
        <v>717</v>
      </c>
      <c r="C43" s="245">
        <v>-20.760999999999999</v>
      </c>
      <c r="D43" s="245">
        <v>-180.79911400999998</v>
      </c>
      <c r="E43" s="245">
        <v>0</v>
      </c>
      <c r="F43" s="245">
        <v>-51.51</v>
      </c>
      <c r="G43" s="245">
        <v>-12.14</v>
      </c>
      <c r="H43" s="246">
        <v>0</v>
      </c>
      <c r="I43" s="246">
        <v>0</v>
      </c>
      <c r="J43" s="246">
        <v>-61.33</v>
      </c>
      <c r="K43" s="246">
        <v>-0.44911295000000001</v>
      </c>
      <c r="L43" s="246">
        <v>-24.955732359999999</v>
      </c>
      <c r="M43" s="246">
        <v>-0.52778334999999998</v>
      </c>
      <c r="N43" s="1021">
        <v>-37.546928030000004</v>
      </c>
      <c r="O43" s="246">
        <v>-73.47</v>
      </c>
      <c r="P43" s="247">
        <v>-63.479556690000003</v>
      </c>
      <c r="S43" s="39"/>
      <c r="T43" s="39"/>
      <c r="U43" s="35"/>
      <c r="V43" s="35"/>
    </row>
    <row r="44" spans="2:22" s="9" customFormat="1" ht="24" customHeight="1" x14ac:dyDescent="0.25">
      <c r="B44" s="232" t="s">
        <v>718</v>
      </c>
      <c r="C44" s="245">
        <v>0</v>
      </c>
      <c r="D44" s="245">
        <v>0</v>
      </c>
      <c r="E44" s="245">
        <v>0</v>
      </c>
      <c r="F44" s="245">
        <v>0</v>
      </c>
      <c r="G44" s="245">
        <v>0</v>
      </c>
      <c r="H44" s="246">
        <v>0</v>
      </c>
      <c r="I44" s="246">
        <v>0</v>
      </c>
      <c r="J44" s="246">
        <v>-88.600999999999999</v>
      </c>
      <c r="K44" s="246">
        <v>0.54234499999999997</v>
      </c>
      <c r="L44" s="246">
        <v>2.4137309999999998</v>
      </c>
      <c r="M44" s="246">
        <v>-0.36426700000000301</v>
      </c>
      <c r="N44" s="1021">
        <v>-46.092507784198304</v>
      </c>
      <c r="O44" s="246">
        <v>-88.600999999999999</v>
      </c>
      <c r="P44" s="247">
        <v>-43.500698784198306</v>
      </c>
      <c r="S44" s="39"/>
      <c r="T44" s="39"/>
      <c r="U44" s="35"/>
      <c r="V44" s="35"/>
    </row>
    <row r="45" spans="2:22" s="9" customFormat="1" ht="24" customHeight="1" x14ac:dyDescent="0.25">
      <c r="B45" s="143" t="s">
        <v>675</v>
      </c>
      <c r="C45" s="248">
        <v>0</v>
      </c>
      <c r="D45" s="248">
        <v>0</v>
      </c>
      <c r="E45" s="245">
        <v>0</v>
      </c>
      <c r="F45" s="245">
        <v>0</v>
      </c>
      <c r="G45" s="248">
        <v>0</v>
      </c>
      <c r="H45" s="246">
        <v>0</v>
      </c>
      <c r="I45" s="234">
        <v>0</v>
      </c>
      <c r="J45" s="742">
        <v>-25</v>
      </c>
      <c r="K45" s="742">
        <v>0</v>
      </c>
      <c r="L45" s="742">
        <v>0</v>
      </c>
      <c r="M45" s="741">
        <f>-25-1.44</f>
        <v>-26.44</v>
      </c>
      <c r="N45" s="1021">
        <v>-11.4</v>
      </c>
      <c r="O45" s="742">
        <f>J45</f>
        <v>-25</v>
      </c>
      <c r="P45" s="990">
        <f>-25-12.84</f>
        <v>-37.840000000000003</v>
      </c>
      <c r="S45" s="39"/>
      <c r="T45" s="39"/>
      <c r="U45" s="35"/>
      <c r="V45" s="35"/>
    </row>
    <row r="46" spans="2:22" s="9" customFormat="1" ht="24" customHeight="1" x14ac:dyDescent="0.25">
      <c r="B46" s="249" t="s">
        <v>719</v>
      </c>
      <c r="C46" s="245">
        <v>0</v>
      </c>
      <c r="D46" s="245">
        <v>64.553905252500002</v>
      </c>
      <c r="E46" s="245">
        <v>0</v>
      </c>
      <c r="F46" s="245">
        <v>0</v>
      </c>
      <c r="G46" s="245">
        <f t="shared" ref="G46:P46" si="9">-G23+G22</f>
        <v>18.860238125199999</v>
      </c>
      <c r="H46" s="743">
        <f t="shared" si="9"/>
        <v>-2.2212499249999951</v>
      </c>
      <c r="I46" s="246">
        <f t="shared" si="9"/>
        <v>0.53276132000000587</v>
      </c>
      <c r="J46" s="743">
        <f t="shared" si="9"/>
        <v>61.939560749599998</v>
      </c>
      <c r="K46" s="743">
        <f>-K23+K22</f>
        <v>0.66896270549999315</v>
      </c>
      <c r="L46" s="743">
        <f t="shared" si="9"/>
        <v>7.6391803944000003</v>
      </c>
      <c r="M46" s="743">
        <f t="shared" si="9"/>
        <v>9.3182946014999999</v>
      </c>
      <c r="N46" s="917">
        <f>-N23+N22</f>
        <v>33.785944548617501</v>
      </c>
      <c r="O46" s="246">
        <f t="shared" si="9"/>
        <v>79.111310269800015</v>
      </c>
      <c r="P46" s="242">
        <f t="shared" si="9"/>
        <v>51.412382250017515</v>
      </c>
      <c r="S46" s="39"/>
      <c r="T46" s="39"/>
      <c r="U46" s="35"/>
      <c r="V46" s="35"/>
    </row>
    <row r="47" spans="2:22" s="9" customFormat="1" ht="24" customHeight="1" x14ac:dyDescent="0.25">
      <c r="B47" s="747" t="s">
        <v>193</v>
      </c>
      <c r="C47" s="744">
        <f t="shared" ref="C47:P47" si="10">SUM(C40:C46)</f>
        <v>179.76100000000002</v>
      </c>
      <c r="D47" s="744">
        <f t="shared" si="10"/>
        <v>119.68300000000006</v>
      </c>
      <c r="E47" s="744">
        <f t="shared" si="10"/>
        <v>277.37899999999996</v>
      </c>
      <c r="F47" s="744">
        <f t="shared" si="10"/>
        <v>211.24199999999996</v>
      </c>
      <c r="G47" s="744">
        <f t="shared" si="10"/>
        <v>233.13199999999983</v>
      </c>
      <c r="H47" s="744">
        <f t="shared" si="10"/>
        <v>330.00699999999995</v>
      </c>
      <c r="I47" s="744">
        <f t="shared" si="10"/>
        <v>318.39843773000018</v>
      </c>
      <c r="J47" s="744">
        <f t="shared" si="10"/>
        <v>184.33699999999993</v>
      </c>
      <c r="K47" s="744">
        <f t="shared" si="10"/>
        <v>283.72299999999996</v>
      </c>
      <c r="L47" s="744">
        <f t="shared" si="10"/>
        <v>275.50599999999997</v>
      </c>
      <c r="M47" s="744">
        <f t="shared" si="10"/>
        <v>260.69700000000006</v>
      </c>
      <c r="N47" s="744">
        <f t="shared" si="10"/>
        <v>250.18694122898802</v>
      </c>
      <c r="O47" s="744">
        <f t="shared" si="10"/>
        <v>1065.8744377299995</v>
      </c>
      <c r="P47" s="746">
        <f t="shared" si="10"/>
        <v>1070.1129412289877</v>
      </c>
      <c r="R47" s="39"/>
      <c r="S47" s="39"/>
      <c r="T47" s="39"/>
      <c r="U47" s="35"/>
      <c r="V47" s="35"/>
    </row>
    <row r="48" spans="2:22" s="9" customFormat="1" ht="13.5" customHeight="1" x14ac:dyDescent="0.25">
      <c r="B48" s="237"/>
      <c r="C48" s="238"/>
      <c r="D48" s="238"/>
      <c r="E48" s="238"/>
      <c r="F48" s="238"/>
      <c r="G48" s="238"/>
      <c r="H48" s="238"/>
      <c r="I48" s="238"/>
      <c r="J48" s="238"/>
      <c r="K48" s="238"/>
      <c r="L48" s="238"/>
      <c r="M48" s="238"/>
      <c r="N48" s="238"/>
      <c r="O48" s="238"/>
      <c r="P48" s="258"/>
    </row>
    <row r="49" spans="2:17" s="9" customFormat="1" ht="24" customHeight="1" x14ac:dyDescent="0.25">
      <c r="B49" s="253" t="s">
        <v>191</v>
      </c>
      <c r="C49" s="254">
        <v>-13.125</v>
      </c>
      <c r="D49" s="254">
        <v>-13.125</v>
      </c>
      <c r="E49" s="254">
        <v>-13.125</v>
      </c>
      <c r="F49" s="254">
        <v>-13.125</v>
      </c>
      <c r="G49" s="254">
        <v>-13.125</v>
      </c>
      <c r="H49" s="254">
        <v>-13.125</v>
      </c>
      <c r="I49" s="254">
        <v>-13.125</v>
      </c>
      <c r="J49" s="254">
        <v>-13.125</v>
      </c>
      <c r="K49" s="254">
        <v>-13.125</v>
      </c>
      <c r="L49" s="254">
        <v>-13.125</v>
      </c>
      <c r="M49" s="254">
        <v>-19.875</v>
      </c>
      <c r="N49" s="254">
        <v>-20.399999999999999</v>
      </c>
      <c r="O49" s="254">
        <f>G49+H49+I49+J49</f>
        <v>-52.5</v>
      </c>
      <c r="P49" s="255">
        <f>K49+L49+M49+N49</f>
        <v>-66.525000000000006</v>
      </c>
    </row>
    <row r="50" spans="2:17" s="9" customFormat="1" ht="24" customHeight="1" x14ac:dyDescent="0.25">
      <c r="B50" s="243" t="s">
        <v>194</v>
      </c>
      <c r="C50" s="244">
        <f t="shared" ref="C50:P50" si="11">C47+C49</f>
        <v>166.63600000000002</v>
      </c>
      <c r="D50" s="244">
        <f t="shared" si="11"/>
        <v>106.55800000000006</v>
      </c>
      <c r="E50" s="244">
        <f t="shared" si="11"/>
        <v>264.25399999999996</v>
      </c>
      <c r="F50" s="244">
        <f t="shared" si="11"/>
        <v>198.11699999999996</v>
      </c>
      <c r="G50" s="244">
        <f t="shared" si="11"/>
        <v>220.00699999999983</v>
      </c>
      <c r="H50" s="244">
        <f t="shared" si="11"/>
        <v>316.88199999999995</v>
      </c>
      <c r="I50" s="244">
        <f t="shared" si="11"/>
        <v>305.27343773000018</v>
      </c>
      <c r="J50" s="244">
        <f t="shared" si="11"/>
        <v>171.21199999999993</v>
      </c>
      <c r="K50" s="815">
        <f t="shared" si="11"/>
        <v>270.59799999999996</v>
      </c>
      <c r="L50" s="815">
        <f t="shared" si="11"/>
        <v>262.38099999999997</v>
      </c>
      <c r="M50" s="815">
        <f t="shared" si="11"/>
        <v>240.82200000000006</v>
      </c>
      <c r="N50" s="815">
        <f t="shared" si="11"/>
        <v>229.78694122898801</v>
      </c>
      <c r="O50" s="815">
        <f t="shared" si="11"/>
        <v>1013.3744377299995</v>
      </c>
      <c r="P50" s="745">
        <f t="shared" si="11"/>
        <v>1003.5879412289877</v>
      </c>
    </row>
    <row r="51" spans="2:17" s="9" customFormat="1" ht="24" customHeight="1" x14ac:dyDescent="0.25">
      <c r="B51" s="252" t="s">
        <v>140</v>
      </c>
      <c r="C51" s="250">
        <f t="shared" ref="C51:H51" si="12">C50/C53</f>
        <v>0.13330929644381997</v>
      </c>
      <c r="D51" s="250">
        <f t="shared" si="12"/>
        <v>8.5291343010887768E-2</v>
      </c>
      <c r="E51" s="250">
        <f t="shared" si="12"/>
        <v>0.21242883530718468</v>
      </c>
      <c r="F51" s="250">
        <f t="shared" si="12"/>
        <v>0.15911450323368179</v>
      </c>
      <c r="G51" s="250">
        <f t="shared" si="12"/>
        <v>0.17658569304283309</v>
      </c>
      <c r="H51" s="250">
        <f t="shared" si="12"/>
        <v>0.2544803568765413</v>
      </c>
      <c r="I51" s="250">
        <f t="shared" ref="I51:P51" si="13">I50/I53</f>
        <v>0.24488039565950162</v>
      </c>
      <c r="J51" s="250">
        <f t="shared" si="13"/>
        <v>0.13740515444331891</v>
      </c>
      <c r="K51" s="250">
        <f t="shared" si="13"/>
        <v>0.2169212461122341</v>
      </c>
      <c r="L51" s="250">
        <f t="shared" si="13"/>
        <v>0.21031273739146117</v>
      </c>
      <c r="M51" s="250">
        <f t="shared" si="13"/>
        <v>0.19296816868253552</v>
      </c>
      <c r="N51" s="250">
        <f t="shared" si="13"/>
        <v>0.18681434191776458</v>
      </c>
      <c r="O51" s="250">
        <f t="shared" si="13"/>
        <v>0.81327752216668281</v>
      </c>
      <c r="P51" s="251">
        <f t="shared" si="13"/>
        <v>0.81590633390460932</v>
      </c>
    </row>
    <row r="52" spans="2:17" s="9" customFormat="1" ht="15.75" customHeight="1" x14ac:dyDescent="0.25">
      <c r="B52" s="229"/>
      <c r="C52" s="230"/>
      <c r="D52" s="230"/>
      <c r="E52" s="230"/>
      <c r="F52" s="230"/>
      <c r="G52" s="230"/>
      <c r="H52" s="230"/>
      <c r="I52" s="230"/>
      <c r="J52" s="230"/>
      <c r="K52" s="230"/>
      <c r="L52" s="230"/>
      <c r="M52" s="230"/>
      <c r="N52" s="230"/>
      <c r="O52" s="230"/>
      <c r="P52" s="230"/>
    </row>
    <row r="53" spans="2:17" s="9" customFormat="1" ht="24" customHeight="1" x14ac:dyDescent="0.25">
      <c r="B53" s="227" t="s">
        <v>195</v>
      </c>
      <c r="C53" s="739">
        <v>1249.995345</v>
      </c>
      <c r="D53" s="739">
        <v>1249.3413309999999</v>
      </c>
      <c r="E53" s="739">
        <v>1243.9648299999999</v>
      </c>
      <c r="F53" s="739">
        <v>1245.122198</v>
      </c>
      <c r="G53" s="739">
        <v>1245.8936859999999</v>
      </c>
      <c r="H53" s="739">
        <v>1245.212023</v>
      </c>
      <c r="I53" s="739">
        <v>1246.622609</v>
      </c>
      <c r="J53" s="739">
        <v>1246.037681</v>
      </c>
      <c r="K53" s="739">
        <f>1250.367223-2.919106</f>
        <v>1247.4481169999999</v>
      </c>
      <c r="L53" s="739">
        <v>1247.5754119999999</v>
      </c>
      <c r="M53" s="739">
        <v>1247.9882129999999</v>
      </c>
      <c r="N53" s="739">
        <v>1230.028374</v>
      </c>
      <c r="O53" s="739">
        <f>J53</f>
        <v>1246.037681</v>
      </c>
      <c r="P53" s="739">
        <f>N53</f>
        <v>1230.028374</v>
      </c>
    </row>
    <row r="54" spans="2:17" s="9" customFormat="1" ht="24" customHeight="1" x14ac:dyDescent="0.25">
      <c r="B54" s="164" t="s">
        <v>414</v>
      </c>
      <c r="C54" s="164"/>
      <c r="D54" s="164"/>
      <c r="E54" s="164"/>
      <c r="F54" s="164"/>
      <c r="G54" s="164"/>
      <c r="H54" s="164"/>
      <c r="I54" s="164"/>
      <c r="J54" s="164"/>
      <c r="K54" s="164"/>
      <c r="L54" s="164"/>
      <c r="M54" s="164"/>
      <c r="N54" s="164"/>
      <c r="O54" s="164"/>
      <c r="P54" s="164"/>
    </row>
    <row r="55" spans="2:17" s="9" customFormat="1" ht="12.75" customHeight="1" x14ac:dyDescent="0.25">
      <c r="B55" s="116"/>
      <c r="C55" s="144"/>
      <c r="D55" s="144"/>
      <c r="E55" s="144"/>
      <c r="F55" s="144"/>
      <c r="G55" s="144"/>
      <c r="H55" s="144"/>
      <c r="I55" s="144"/>
      <c r="J55" s="144"/>
      <c r="K55" s="144"/>
      <c r="L55" s="144"/>
      <c r="M55" s="144"/>
      <c r="N55" s="144"/>
      <c r="O55" s="144"/>
      <c r="P55" s="144"/>
    </row>
    <row r="56" spans="2:17" s="9" customFormat="1" ht="22.5" customHeight="1" x14ac:dyDescent="0.25">
      <c r="B56" s="164"/>
      <c r="C56" s="165"/>
      <c r="D56" s="165"/>
      <c r="E56" s="165"/>
      <c r="F56" s="165"/>
      <c r="G56" s="165"/>
      <c r="H56" s="165"/>
      <c r="I56" s="165"/>
      <c r="J56" s="165"/>
      <c r="K56" s="165"/>
      <c r="L56" s="165"/>
      <c r="M56" s="165"/>
      <c r="N56" s="165"/>
      <c r="O56" s="165"/>
      <c r="P56" s="165"/>
    </row>
    <row r="57" spans="2:17" ht="22.5" customHeight="1" x14ac:dyDescent="0.25">
      <c r="B57" s="164"/>
      <c r="C57" s="228"/>
      <c r="D57" s="228"/>
      <c r="E57" s="228"/>
      <c r="F57" s="228"/>
      <c r="G57" s="228"/>
      <c r="H57" s="228"/>
      <c r="I57" s="228"/>
      <c r="J57" s="228"/>
      <c r="K57" s="228"/>
      <c r="L57" s="228"/>
      <c r="M57" s="228"/>
      <c r="N57" s="228"/>
      <c r="O57" s="228"/>
      <c r="P57" s="228"/>
    </row>
    <row r="58" spans="2:17" ht="22.5" customHeight="1" x14ac:dyDescent="0.25">
      <c r="B58" s="164"/>
      <c r="C58" s="164"/>
      <c r="D58" s="164"/>
      <c r="E58" s="164"/>
      <c r="F58" s="164"/>
      <c r="G58" s="164"/>
      <c r="H58" s="164"/>
      <c r="I58" s="164"/>
      <c r="J58" s="164"/>
      <c r="K58" s="164"/>
      <c r="L58" s="164"/>
      <c r="M58" s="164"/>
      <c r="N58" s="164"/>
      <c r="O58" s="164"/>
      <c r="P58" s="164"/>
    </row>
    <row r="59" spans="2:17" ht="22.5" customHeight="1" x14ac:dyDescent="0.25">
      <c r="B59" s="164"/>
      <c r="C59" s="164"/>
      <c r="D59" s="164"/>
      <c r="E59" s="164"/>
      <c r="F59" s="164"/>
      <c r="G59" s="164"/>
      <c r="H59" s="164"/>
      <c r="I59" s="164"/>
      <c r="J59" s="164"/>
      <c r="K59" s="164"/>
      <c r="L59" s="164"/>
      <c r="M59" s="164"/>
      <c r="N59" s="164"/>
      <c r="O59" s="164"/>
      <c r="P59" s="164"/>
    </row>
    <row r="60" spans="2:17" s="9" customFormat="1" ht="29.25" customHeight="1" x14ac:dyDescent="0.25">
      <c r="B60" s="1046"/>
      <c r="C60" s="1046"/>
      <c r="D60" s="1046"/>
      <c r="E60" s="1046"/>
      <c r="F60" s="1046"/>
      <c r="G60" s="1046"/>
      <c r="H60" s="1046"/>
      <c r="I60" s="1046"/>
      <c r="J60" s="1046"/>
      <c r="K60" s="1046"/>
      <c r="L60" s="1046"/>
      <c r="M60" s="1046"/>
      <c r="N60" s="1046"/>
      <c r="O60" s="1046"/>
      <c r="P60" s="1046"/>
      <c r="Q60" s="1046"/>
    </row>
    <row r="61" spans="2:17" s="9" customFormat="1" ht="22.5" customHeight="1" x14ac:dyDescent="0.25">
      <c r="B61" s="1046"/>
      <c r="C61" s="1046"/>
      <c r="D61" s="1046"/>
      <c r="E61" s="1046"/>
      <c r="F61" s="1046"/>
      <c r="G61" s="1046"/>
      <c r="H61" s="1046"/>
      <c r="I61" s="1046"/>
      <c r="J61" s="1046"/>
      <c r="K61" s="1046"/>
      <c r="L61" s="1046"/>
      <c r="M61" s="1046"/>
      <c r="N61" s="1046"/>
      <c r="O61" s="1046"/>
      <c r="P61" s="1046"/>
    </row>
    <row r="62" spans="2:17" s="9" customFormat="1" ht="45" customHeight="1" x14ac:dyDescent="0.25">
      <c r="B62" s="1046"/>
      <c r="C62" s="1046"/>
      <c r="D62" s="1046"/>
      <c r="E62" s="1046"/>
      <c r="F62" s="1046"/>
      <c r="G62" s="1046"/>
      <c r="H62" s="1046"/>
      <c r="I62" s="1046"/>
      <c r="J62" s="1046"/>
      <c r="K62" s="1046"/>
      <c r="L62" s="1046"/>
      <c r="M62" s="1046"/>
      <c r="N62" s="1046"/>
      <c r="O62" s="1046"/>
      <c r="P62" s="1046"/>
    </row>
    <row r="63" spans="2:17" s="9" customFormat="1" ht="22.5" customHeight="1" x14ac:dyDescent="0.25">
      <c r="B63" s="1046"/>
      <c r="C63" s="1046"/>
      <c r="D63" s="1046"/>
      <c r="E63" s="1046"/>
      <c r="F63" s="1046"/>
      <c r="G63" s="1046"/>
      <c r="H63" s="1046"/>
      <c r="I63" s="1046"/>
      <c r="J63" s="1046"/>
      <c r="K63" s="1046"/>
      <c r="L63" s="1046"/>
      <c r="M63" s="1046"/>
      <c r="N63" s="1046"/>
      <c r="O63" s="1046"/>
      <c r="P63" s="1046"/>
    </row>
    <row r="65" spans="3:16" ht="18" x14ac:dyDescent="0.25">
      <c r="C65" s="60"/>
      <c r="D65" s="60"/>
      <c r="E65" s="60"/>
      <c r="F65" s="60"/>
      <c r="G65" s="60"/>
      <c r="H65" s="60"/>
      <c r="I65" s="60"/>
      <c r="J65" s="60"/>
      <c r="K65" s="60"/>
      <c r="L65" s="60"/>
      <c r="M65" s="60"/>
      <c r="N65" s="60"/>
      <c r="O65" s="60"/>
      <c r="P65" s="60"/>
    </row>
    <row r="66" spans="3:16" ht="36" customHeight="1" x14ac:dyDescent="0.25">
      <c r="K66" s="142" t="s">
        <v>446</v>
      </c>
      <c r="L66" s="142" t="s">
        <v>455</v>
      </c>
      <c r="M66" s="142" t="s">
        <v>496</v>
      </c>
      <c r="N66" s="142" t="s">
        <v>559</v>
      </c>
    </row>
    <row r="67" spans="3:16" ht="27" customHeight="1" x14ac:dyDescent="0.25">
      <c r="J67" s="10" t="s">
        <v>660</v>
      </c>
      <c r="K67" s="992">
        <f>K10</f>
        <v>480.952</v>
      </c>
      <c r="L67" s="992">
        <f>L10</f>
        <v>473.56599999999997</v>
      </c>
      <c r="M67" s="992">
        <f>M10</f>
        <v>471.23099999999999</v>
      </c>
      <c r="N67" s="992">
        <f>N10</f>
        <v>476.851</v>
      </c>
    </row>
    <row r="68" spans="3:16" ht="27" customHeight="1" x14ac:dyDescent="0.25">
      <c r="J68" s="10" t="s">
        <v>661</v>
      </c>
      <c r="K68" s="992">
        <f>K11</f>
        <v>159.72299999999998</v>
      </c>
      <c r="L68" s="992">
        <f>L11</f>
        <v>165.53200000000001</v>
      </c>
      <c r="M68" s="992">
        <f>M11</f>
        <v>163.86399999999998</v>
      </c>
      <c r="N68" s="992">
        <f>N11-7</f>
        <v>199.49499399999999</v>
      </c>
    </row>
    <row r="69" spans="3:16" ht="27" customHeight="1" x14ac:dyDescent="0.25">
      <c r="J69" s="10" t="s">
        <v>662</v>
      </c>
      <c r="K69" s="993">
        <v>0</v>
      </c>
      <c r="L69" s="993">
        <v>0</v>
      </c>
      <c r="M69" s="993">
        <v>0</v>
      </c>
      <c r="N69" s="993">
        <v>10</v>
      </c>
    </row>
    <row r="70" spans="3:16" ht="27" customHeight="1" x14ac:dyDescent="0.25">
      <c r="J70" s="10" t="s">
        <v>663</v>
      </c>
      <c r="K70" s="992">
        <f>K33+K32</f>
        <v>8.7849999999999966</v>
      </c>
      <c r="L70" s="992">
        <f>L33+L32</f>
        <v>47.878</v>
      </c>
      <c r="M70" s="992">
        <f>M33+M32</f>
        <v>13.338000000000001</v>
      </c>
      <c r="N70" s="992">
        <f>N33+N32-3</f>
        <v>36.159947228987974</v>
      </c>
    </row>
    <row r="71" spans="3:16" ht="27" customHeight="1" x14ac:dyDescent="0.25">
      <c r="J71" s="991" t="s">
        <v>664</v>
      </c>
      <c r="K71" s="994">
        <f>K67+K68+K69+K70</f>
        <v>649.45999999999992</v>
      </c>
      <c r="L71" s="994">
        <f t="shared" ref="L71:N71" si="14">L67+L68+L69+L70</f>
        <v>686.976</v>
      </c>
      <c r="M71" s="994">
        <f t="shared" si="14"/>
        <v>648.43299999999999</v>
      </c>
      <c r="N71" s="994">
        <f t="shared" si="14"/>
        <v>722.50594122898804</v>
      </c>
    </row>
    <row r="72" spans="3:16" x14ac:dyDescent="0.25">
      <c r="J72" s="10" t="s">
        <v>665</v>
      </c>
      <c r="K72" s="992">
        <f>K12</f>
        <v>-221.57400000000001</v>
      </c>
      <c r="L72" s="992">
        <f>L12</f>
        <v>-208.048</v>
      </c>
      <c r="M72" s="992">
        <f>M12</f>
        <v>-206.43</v>
      </c>
      <c r="N72" s="992">
        <f>N12+7</f>
        <v>-227.30717874999999</v>
      </c>
    </row>
    <row r="73" spans="3:16" x14ac:dyDescent="0.25">
      <c r="J73" s="10" t="s">
        <v>666</v>
      </c>
      <c r="K73" s="992" t="e">
        <f>#REF!</f>
        <v>#REF!</v>
      </c>
      <c r="L73" s="992" t="e">
        <f>#REF!</f>
        <v>#REF!</v>
      </c>
      <c r="M73" s="992" t="e">
        <f>#REF!</f>
        <v>#REF!</v>
      </c>
      <c r="N73" s="992" t="e">
        <f>#REF!</f>
        <v>#REF!</v>
      </c>
    </row>
    <row r="74" spans="3:16" x14ac:dyDescent="0.25">
      <c r="J74" s="10" t="s">
        <v>668</v>
      </c>
      <c r="K74" s="993">
        <v>0</v>
      </c>
      <c r="L74" s="993">
        <v>0</v>
      </c>
      <c r="M74" s="993">
        <v>0</v>
      </c>
      <c r="N74" s="993">
        <v>-7</v>
      </c>
    </row>
    <row r="75" spans="3:16" x14ac:dyDescent="0.25">
      <c r="J75" s="10" t="s">
        <v>667</v>
      </c>
      <c r="K75" s="992">
        <f>K16+K17+K18</f>
        <v>-34.80388705</v>
      </c>
      <c r="L75" s="992">
        <f>L16+L17+L18</f>
        <v>-69.01126764</v>
      </c>
      <c r="M75" s="992">
        <f>M16+M17+M18</f>
        <v>-67.217216650000012</v>
      </c>
      <c r="N75" s="992">
        <f>N16+N17+N18</f>
        <v>-54.258071969999989</v>
      </c>
    </row>
    <row r="76" spans="3:16" x14ac:dyDescent="0.25">
      <c r="J76" s="10" t="s">
        <v>669</v>
      </c>
      <c r="K76" s="992">
        <v>-0.44911295000000001</v>
      </c>
      <c r="L76" s="992">
        <v>-24.955732359999999</v>
      </c>
      <c r="M76" s="992">
        <v>-0.52778334999999998</v>
      </c>
      <c r="N76" s="992">
        <v>-1.3469280299999999</v>
      </c>
    </row>
    <row r="77" spans="3:16" ht="30.75" customHeight="1" x14ac:dyDescent="0.25">
      <c r="J77" s="995" t="s">
        <v>670</v>
      </c>
      <c r="K77" s="992">
        <f>K19+K20</f>
        <v>-8.3393449999999998</v>
      </c>
      <c r="L77" s="992">
        <f t="shared" ref="L77:M77" si="15">L19+L20</f>
        <v>-12.727731</v>
      </c>
      <c r="M77" s="992">
        <f t="shared" si="15"/>
        <v>7.9862670000000051</v>
      </c>
      <c r="N77" s="992">
        <f>N19+N20+35</f>
        <v>-8.1154922158017015</v>
      </c>
    </row>
    <row r="78" spans="3:16" ht="24" customHeight="1" x14ac:dyDescent="0.25">
      <c r="J78" s="995" t="s">
        <v>671</v>
      </c>
      <c r="K78" s="992">
        <v>-0.54234499999999997</v>
      </c>
      <c r="L78" s="992">
        <v>2.4137309999999998</v>
      </c>
      <c r="M78" s="992">
        <v>-25.364267000000002</v>
      </c>
      <c r="N78" s="992">
        <f>-23.63079128-35</f>
        <v>-58.630791279999997</v>
      </c>
    </row>
    <row r="79" spans="3:16" x14ac:dyDescent="0.25">
      <c r="K79" s="992"/>
      <c r="L79" s="992"/>
      <c r="M79" s="992"/>
      <c r="N79" s="992"/>
    </row>
  </sheetData>
  <mergeCells count="5">
    <mergeCell ref="B5:P5"/>
    <mergeCell ref="B62:P62"/>
    <mergeCell ref="B63:P63"/>
    <mergeCell ref="B60:Q60"/>
    <mergeCell ref="B61:P61"/>
  </mergeCells>
  <phoneticPr fontId="24" type="noConversion"/>
  <hyperlinks>
    <hyperlink ref="P2" location="'Cover '!A1" display="Back to Cover" xr:uid="{C0DCBB4C-658A-4E07-B353-E5AD054E47B3}"/>
  </hyperlinks>
  <printOptions horizontalCentered="1" verticalCentered="1"/>
  <pageMargins left="0" right="0" top="0" bottom="0" header="0" footer="0"/>
  <pageSetup paperSize="8" scale="72" orientation="landscape" r:id="rId1"/>
  <headerFooter alignWithMargins="0"/>
  <ignoredErrors>
    <ignoredError sqref="I21 O25" formula="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A59"/>
  <sheetViews>
    <sheetView showGridLines="0" view="pageBreakPreview" zoomScale="85" zoomScaleNormal="90" zoomScaleSheetLayoutView="85" workbookViewId="0">
      <pane xSplit="2" ySplit="9" topLeftCell="C10" activePane="bottomRight" state="frozen"/>
      <selection activeCell="M28" sqref="M28"/>
      <selection pane="topRight" activeCell="M28" sqref="M28"/>
      <selection pane="bottomLeft" activeCell="M28" sqref="M28"/>
      <selection pane="bottomRight" activeCell="B5" sqref="B5:P5"/>
    </sheetView>
  </sheetViews>
  <sheetFormatPr defaultColWidth="9.109375" defaultRowHeight="15.6" x14ac:dyDescent="0.25"/>
  <cols>
    <col min="1" max="1" width="2.44140625" style="6" customWidth="1"/>
    <col min="2" max="2" width="81.44140625" style="6" customWidth="1"/>
    <col min="3" max="9" width="16.109375" style="6" customWidth="1"/>
    <col min="10" max="10" width="16.33203125" style="6" customWidth="1"/>
    <col min="11" max="14" width="16.109375" style="6" customWidth="1"/>
    <col min="15" max="15" width="4" style="33" customWidth="1"/>
    <col min="16" max="16" width="11" style="6" customWidth="1"/>
    <col min="17" max="17" width="2.44140625" style="6" customWidth="1"/>
    <col min="18" max="18" width="11.33203125" style="6" bestFit="1" customWidth="1"/>
    <col min="19" max="19" width="17.88671875" style="6" bestFit="1" customWidth="1"/>
    <col min="20" max="20" width="11.5546875" style="6" bestFit="1" customWidth="1"/>
    <col min="21" max="21" width="13.109375" style="6" customWidth="1"/>
    <col min="22" max="16384" width="9.109375" style="6"/>
  </cols>
  <sheetData>
    <row r="1" spans="1:23" ht="15.75" customHeight="1" x14ac:dyDescent="0.25">
      <c r="N1" s="112"/>
      <c r="O1" s="293"/>
      <c r="P1" s="112"/>
    </row>
    <row r="2" spans="1:23" ht="15.75" customHeight="1" x14ac:dyDescent="0.25">
      <c r="N2" s="265"/>
      <c r="O2" s="259"/>
      <c r="P2" s="114" t="s">
        <v>18</v>
      </c>
    </row>
    <row r="3" spans="1:23" ht="15.75" customHeight="1" x14ac:dyDescent="0.25">
      <c r="B3" s="12"/>
    </row>
    <row r="4" spans="1:23" ht="15.75" customHeight="1" x14ac:dyDescent="0.25"/>
    <row r="5" spans="1:23" s="17" customFormat="1" ht="27.6" x14ac:dyDescent="0.25">
      <c r="A5" s="16"/>
      <c r="B5" s="1044" t="s">
        <v>4</v>
      </c>
      <c r="C5" s="1044"/>
      <c r="D5" s="1044"/>
      <c r="E5" s="1044"/>
      <c r="F5" s="1044"/>
      <c r="G5" s="1044"/>
      <c r="H5" s="1044"/>
      <c r="I5" s="1044"/>
      <c r="J5" s="1044"/>
      <c r="K5" s="1044"/>
      <c r="L5" s="1044"/>
      <c r="M5" s="1044"/>
      <c r="N5" s="1044"/>
      <c r="O5" s="1044"/>
      <c r="P5" s="1044"/>
      <c r="S5" s="71"/>
      <c r="T5" s="71"/>
      <c r="U5" s="71"/>
      <c r="W5" s="72"/>
    </row>
    <row r="6" spans="1:23" s="17" customFormat="1" ht="9" customHeight="1" x14ac:dyDescent="0.25">
      <c r="A6" s="16"/>
      <c r="B6" s="18"/>
      <c r="C6" s="18"/>
      <c r="D6" s="18"/>
      <c r="E6" s="18"/>
      <c r="F6" s="18"/>
      <c r="G6" s="18"/>
      <c r="H6" s="18"/>
      <c r="I6" s="18"/>
      <c r="J6" s="18"/>
      <c r="K6" s="18"/>
      <c r="L6" s="18"/>
      <c r="M6" s="18"/>
      <c r="N6" s="18"/>
      <c r="O6" s="18"/>
    </row>
    <row r="7" spans="1:23" s="17" customFormat="1" ht="15.75" customHeight="1" x14ac:dyDescent="0.25">
      <c r="A7" s="18"/>
      <c r="B7" s="6"/>
      <c r="C7" s="32"/>
      <c r="D7" s="32"/>
      <c r="E7" s="32"/>
      <c r="F7" s="32"/>
      <c r="G7" s="32"/>
      <c r="H7" s="32"/>
      <c r="I7" s="32"/>
      <c r="J7" s="32"/>
      <c r="K7" s="32"/>
      <c r="L7" s="32"/>
      <c r="M7" s="32"/>
      <c r="N7" s="32"/>
      <c r="O7" s="34"/>
      <c r="P7" s="14"/>
      <c r="S7" s="71"/>
      <c r="T7" s="71"/>
      <c r="U7" s="71"/>
      <c r="W7" s="73"/>
    </row>
    <row r="8" spans="1:23" ht="18.600000000000001" customHeight="1" x14ac:dyDescent="0.25">
      <c r="C8" s="49"/>
      <c r="F8" s="49"/>
    </row>
    <row r="9" spans="1:23" ht="39.6" customHeight="1" x14ac:dyDescent="0.25">
      <c r="B9" s="267" t="s">
        <v>0</v>
      </c>
      <c r="C9" s="179">
        <v>45016</v>
      </c>
      <c r="D9" s="179">
        <v>45107</v>
      </c>
      <c r="E9" s="179">
        <v>45199</v>
      </c>
      <c r="F9" s="179">
        <v>45291</v>
      </c>
      <c r="G9" s="179">
        <v>45382</v>
      </c>
      <c r="H9" s="179">
        <v>45473</v>
      </c>
      <c r="I9" s="179">
        <v>45565</v>
      </c>
      <c r="J9" s="179">
        <v>45657</v>
      </c>
      <c r="K9" s="179">
        <v>45747</v>
      </c>
      <c r="L9" s="179">
        <v>45838</v>
      </c>
      <c r="M9" s="183">
        <v>45930</v>
      </c>
      <c r="N9" s="182">
        <v>46022</v>
      </c>
      <c r="O9" s="259"/>
      <c r="P9" s="288" t="s">
        <v>33</v>
      </c>
    </row>
    <row r="10" spans="1:23" ht="19.5" customHeight="1" x14ac:dyDescent="0.4">
      <c r="B10" s="268" t="s">
        <v>5</v>
      </c>
      <c r="C10" s="260"/>
      <c r="D10" s="260"/>
      <c r="E10" s="269"/>
      <c r="F10" s="260"/>
      <c r="G10" s="260"/>
      <c r="H10" s="269"/>
      <c r="I10" s="269"/>
      <c r="J10" s="269"/>
      <c r="K10" s="269"/>
      <c r="L10" s="269"/>
      <c r="M10" s="919"/>
      <c r="N10" s="270"/>
      <c r="O10" s="259"/>
      <c r="P10" s="289"/>
    </row>
    <row r="11" spans="1:23" s="9" customFormat="1" ht="19.5" customHeight="1" x14ac:dyDescent="0.4">
      <c r="B11" s="271" t="s">
        <v>24</v>
      </c>
      <c r="C11" s="260">
        <v>9575.5249999999996</v>
      </c>
      <c r="D11" s="260">
        <v>10606.468999999999</v>
      </c>
      <c r="E11" s="260">
        <v>12687.053</v>
      </c>
      <c r="F11" s="260">
        <v>10567.495999999999</v>
      </c>
      <c r="G11" s="260">
        <v>11108.459000000001</v>
      </c>
      <c r="H11" s="269">
        <v>8754.6980000000003</v>
      </c>
      <c r="I11" s="269">
        <v>9797.7493262399985</v>
      </c>
      <c r="J11" s="269">
        <v>7422.5169999999998</v>
      </c>
      <c r="K11" s="269">
        <v>5128.9639999999999</v>
      </c>
      <c r="L11" s="269">
        <v>6190.4110000000001</v>
      </c>
      <c r="M11" s="919">
        <v>6615.51</v>
      </c>
      <c r="N11" s="270">
        <v>7496.59</v>
      </c>
      <c r="O11" s="261"/>
      <c r="P11" s="290">
        <f>N11/M11-1</f>
        <v>0.13318398732675174</v>
      </c>
      <c r="Q11" s="46"/>
      <c r="R11" s="1037"/>
      <c r="S11" s="723"/>
    </row>
    <row r="12" spans="1:23" s="9" customFormat="1" ht="19.5" customHeight="1" x14ac:dyDescent="0.4">
      <c r="B12" s="271" t="s">
        <v>25</v>
      </c>
      <c r="C12" s="260">
        <v>952.57899999999995</v>
      </c>
      <c r="D12" s="260">
        <v>725.86500000000001</v>
      </c>
      <c r="E12" s="260">
        <v>737.42499999999995</v>
      </c>
      <c r="F12" s="260">
        <v>1034.0170000000001</v>
      </c>
      <c r="G12" s="260">
        <v>1614.3720000000001</v>
      </c>
      <c r="H12" s="269">
        <v>1453.297</v>
      </c>
      <c r="I12" s="269">
        <v>1635.99229694</v>
      </c>
      <c r="J12" s="269">
        <v>2351.94</v>
      </c>
      <c r="K12" s="269">
        <v>2166.4760000000001</v>
      </c>
      <c r="L12" s="269">
        <v>2545.6590000000001</v>
      </c>
      <c r="M12" s="919">
        <v>3036.6640000000002</v>
      </c>
      <c r="N12" s="270">
        <v>3924.489</v>
      </c>
      <c r="O12" s="261"/>
      <c r="P12" s="290">
        <f t="shared" ref="P12:P24" si="0">N12/M12-1</f>
        <v>0.29236853336424429</v>
      </c>
      <c r="Q12" s="38"/>
      <c r="R12" s="269"/>
      <c r="S12" s="723"/>
      <c r="U12" s="58"/>
      <c r="V12" s="39"/>
    </row>
    <row r="13" spans="1:23" s="9" customFormat="1" ht="19.5" customHeight="1" x14ac:dyDescent="0.4">
      <c r="B13" s="272" t="s">
        <v>475</v>
      </c>
      <c r="C13" s="260">
        <v>36823.953307999996</v>
      </c>
      <c r="D13" s="260">
        <v>36987.841641749998</v>
      </c>
      <c r="E13" s="260">
        <v>37298.183124290001</v>
      </c>
      <c r="F13" s="260">
        <v>38398.370636269996</v>
      </c>
      <c r="G13" s="260">
        <v>37198.036212430001</v>
      </c>
      <c r="H13" s="269">
        <v>38398.538545699994</v>
      </c>
      <c r="I13" s="269">
        <v>39036.243863720003</v>
      </c>
      <c r="J13" s="269">
        <v>41425.406161789993</v>
      </c>
      <c r="K13" s="269">
        <v>42105.89161993</v>
      </c>
      <c r="L13" s="269">
        <v>42541.690181899998</v>
      </c>
      <c r="M13" s="919">
        <v>43359.265490639998</v>
      </c>
      <c r="N13" s="270">
        <v>44493.336243259997</v>
      </c>
      <c r="O13" s="261"/>
      <c r="P13" s="290">
        <f t="shared" si="0"/>
        <v>2.6155211343808604E-2</v>
      </c>
      <c r="Q13" s="286"/>
      <c r="R13" s="1037"/>
      <c r="S13" s="723"/>
      <c r="U13" s="38"/>
    </row>
    <row r="14" spans="1:23" s="9" customFormat="1" ht="19.5" customHeight="1" x14ac:dyDescent="0.4">
      <c r="B14" s="272" t="s">
        <v>196</v>
      </c>
      <c r="C14" s="260">
        <v>1359.736308</v>
      </c>
      <c r="D14" s="260">
        <v>1163.9896417500001</v>
      </c>
      <c r="E14" s="260">
        <v>1171.8971242900002</v>
      </c>
      <c r="F14" s="260">
        <v>819.05163627000002</v>
      </c>
      <c r="G14" s="260">
        <v>783.94621242999995</v>
      </c>
      <c r="H14" s="269">
        <v>743.11254570000006</v>
      </c>
      <c r="I14" s="269">
        <v>774.34113476000005</v>
      </c>
      <c r="J14" s="269">
        <v>691.09616179</v>
      </c>
      <c r="K14" s="269">
        <v>704.67861992999997</v>
      </c>
      <c r="L14" s="269">
        <v>736.80218189999994</v>
      </c>
      <c r="M14" s="919">
        <v>790.82919704999995</v>
      </c>
      <c r="N14" s="270">
        <v>737.20424325999988</v>
      </c>
      <c r="O14" s="261"/>
      <c r="P14" s="290">
        <f t="shared" si="0"/>
        <v>-6.7808515403876335E-2</v>
      </c>
      <c r="Q14" s="38"/>
      <c r="R14" s="1037"/>
      <c r="S14" s="723"/>
    </row>
    <row r="15" spans="1:23" s="9" customFormat="1" ht="19.5" customHeight="1" x14ac:dyDescent="0.4">
      <c r="B15" s="272" t="s">
        <v>679</v>
      </c>
      <c r="C15" s="260">
        <v>35464.217000000004</v>
      </c>
      <c r="D15" s="260">
        <v>35823.851999999999</v>
      </c>
      <c r="E15" s="260">
        <v>36126.286000000007</v>
      </c>
      <c r="F15" s="260">
        <v>37579.319000000003</v>
      </c>
      <c r="G15" s="260">
        <v>36414.090000000004</v>
      </c>
      <c r="H15" s="269">
        <v>37655.425999999999</v>
      </c>
      <c r="I15" s="269">
        <v>38261.902728960005</v>
      </c>
      <c r="J15" s="269">
        <v>40734.31</v>
      </c>
      <c r="K15" s="269">
        <v>41401.213000000003</v>
      </c>
      <c r="L15" s="269">
        <v>41804.887999999999</v>
      </c>
      <c r="M15" s="919">
        <v>42568.436293589992</v>
      </c>
      <c r="N15" s="270">
        <v>43756.131999999998</v>
      </c>
      <c r="O15" s="261"/>
      <c r="P15" s="290">
        <f t="shared" si="0"/>
        <v>2.7900853538959991E-2</v>
      </c>
      <c r="Q15" s="46"/>
      <c r="R15" s="1037"/>
      <c r="S15" s="723"/>
      <c r="T15" s="39"/>
    </row>
    <row r="16" spans="1:23" s="9" customFormat="1" ht="19.5" customHeight="1" x14ac:dyDescent="0.4">
      <c r="B16" s="272" t="s">
        <v>162</v>
      </c>
      <c r="C16" s="260">
        <v>15124.817000000001</v>
      </c>
      <c r="D16" s="260">
        <v>16006.099</v>
      </c>
      <c r="E16" s="260">
        <v>16048.777</v>
      </c>
      <c r="F16" s="260">
        <v>14076.643</v>
      </c>
      <c r="G16" s="260">
        <v>14964.045999999998</v>
      </c>
      <c r="H16" s="269">
        <v>15579.439</v>
      </c>
      <c r="I16" s="269">
        <v>16223.018483140002</v>
      </c>
      <c r="J16" s="269">
        <v>16836.535</v>
      </c>
      <c r="K16" s="269">
        <v>17636.435000000001</v>
      </c>
      <c r="L16" s="269">
        <v>18083.401999999998</v>
      </c>
      <c r="M16" s="919">
        <v>18253.345890280001</v>
      </c>
      <c r="N16" s="270">
        <v>18744.081000000002</v>
      </c>
      <c r="O16" s="261"/>
      <c r="P16" s="290">
        <f t="shared" si="0"/>
        <v>2.6884666113806466E-2</v>
      </c>
      <c r="Q16" s="38"/>
      <c r="R16" s="1037"/>
      <c r="S16" s="723"/>
      <c r="T16" s="39"/>
      <c r="U16" s="39"/>
    </row>
    <row r="17" spans="2:24" s="9" customFormat="1" ht="19.5" customHeight="1" x14ac:dyDescent="0.4">
      <c r="B17" s="272" t="s">
        <v>575</v>
      </c>
      <c r="C17" s="260"/>
      <c r="D17" s="260"/>
      <c r="E17" s="260"/>
      <c r="F17" s="260"/>
      <c r="G17" s="260"/>
      <c r="H17" s="269"/>
      <c r="I17" s="269"/>
      <c r="J17" s="269"/>
      <c r="K17" s="269"/>
      <c r="L17" s="269"/>
      <c r="M17" s="919"/>
      <c r="N17" s="270">
        <v>3470.1080000000002</v>
      </c>
      <c r="O17" s="261"/>
      <c r="P17" s="290" t="s">
        <v>143</v>
      </c>
      <c r="Q17" s="38"/>
      <c r="R17" s="1037"/>
      <c r="S17" s="723"/>
      <c r="T17" s="39"/>
      <c r="U17" s="39"/>
    </row>
    <row r="18" spans="2:24" s="9" customFormat="1" ht="19.5" customHeight="1" x14ac:dyDescent="0.4">
      <c r="B18" s="271" t="s">
        <v>576</v>
      </c>
      <c r="C18" s="260">
        <v>1039.75</v>
      </c>
      <c r="D18" s="260">
        <v>1077.6510000000001</v>
      </c>
      <c r="E18" s="269">
        <v>1207.057</v>
      </c>
      <c r="F18" s="260">
        <v>1254.9649999999999</v>
      </c>
      <c r="G18" s="260">
        <v>1263.875</v>
      </c>
      <c r="H18" s="269">
        <v>1269.2370000000001</v>
      </c>
      <c r="I18" s="269">
        <v>1255.1310222</v>
      </c>
      <c r="J18" s="269">
        <v>1294.8520000000001</v>
      </c>
      <c r="K18" s="269">
        <v>1308.5609999999999</v>
      </c>
      <c r="L18" s="269">
        <v>1403.528</v>
      </c>
      <c r="M18" s="919">
        <v>1410.9749619899999</v>
      </c>
      <c r="N18" s="270">
        <v>1352.048</v>
      </c>
      <c r="O18" s="261"/>
      <c r="P18" s="290">
        <f t="shared" si="0"/>
        <v>-4.1763293876519891E-2</v>
      </c>
      <c r="Q18" s="38"/>
      <c r="R18" s="1037"/>
      <c r="S18" s="723"/>
      <c r="T18" s="68"/>
      <c r="U18" s="39"/>
      <c r="W18" s="38"/>
    </row>
    <row r="19" spans="2:24" s="9" customFormat="1" ht="19.5" customHeight="1" x14ac:dyDescent="0.4">
      <c r="B19" s="271" t="s">
        <v>577</v>
      </c>
      <c r="C19" s="260">
        <v>26.978999999999999</v>
      </c>
      <c r="D19" s="260">
        <v>26.934000000000001</v>
      </c>
      <c r="E19" s="269">
        <v>26.834</v>
      </c>
      <c r="F19" s="260">
        <v>26.149000000000001</v>
      </c>
      <c r="G19" s="260">
        <v>26.143999999999998</v>
      </c>
      <c r="H19" s="269">
        <v>26.140999999999998</v>
      </c>
      <c r="I19" s="269">
        <v>26.138280010000003</v>
      </c>
      <c r="J19" s="269">
        <v>26.135000000000002</v>
      </c>
      <c r="K19" s="269">
        <v>26.132999999999999</v>
      </c>
      <c r="L19" s="269">
        <v>26.13</v>
      </c>
      <c r="M19" s="919">
        <v>26.13</v>
      </c>
      <c r="N19" s="270">
        <v>261.73200000000003</v>
      </c>
      <c r="O19" s="261"/>
      <c r="P19" s="290">
        <f t="shared" si="0"/>
        <v>9.0165327210103339</v>
      </c>
      <c r="Q19" s="38"/>
      <c r="R19" s="1037"/>
      <c r="S19" s="723"/>
      <c r="T19" s="39"/>
      <c r="U19" s="38"/>
      <c r="W19" s="38"/>
    </row>
    <row r="20" spans="2:24" s="9" customFormat="1" ht="19.5" customHeight="1" x14ac:dyDescent="0.4">
      <c r="B20" s="271" t="s">
        <v>578</v>
      </c>
      <c r="C20" s="260">
        <v>286.298</v>
      </c>
      <c r="D20" s="260">
        <v>303.16800000000001</v>
      </c>
      <c r="E20" s="269">
        <v>305.41800000000001</v>
      </c>
      <c r="F20" s="260">
        <v>321.005</v>
      </c>
      <c r="G20" s="260">
        <v>320.041</v>
      </c>
      <c r="H20" s="269">
        <v>339.74599999999998</v>
      </c>
      <c r="I20" s="269">
        <v>359.01883919000005</v>
      </c>
      <c r="J20" s="269">
        <v>390.37</v>
      </c>
      <c r="K20" s="269">
        <v>389.92</v>
      </c>
      <c r="L20" s="269">
        <v>407.01400000000001</v>
      </c>
      <c r="M20" s="919">
        <v>421.34899999999999</v>
      </c>
      <c r="N20" s="270">
        <v>555.82600000000002</v>
      </c>
      <c r="O20" s="261"/>
      <c r="P20" s="290">
        <f t="shared" si="0"/>
        <v>0.31915822750261658</v>
      </c>
      <c r="Q20" s="38"/>
      <c r="R20" s="1037"/>
      <c r="S20" s="723"/>
      <c r="T20" s="39"/>
      <c r="U20" s="39"/>
      <c r="V20" s="39"/>
      <c r="W20" s="95"/>
      <c r="X20" s="38"/>
    </row>
    <row r="21" spans="2:24" s="9" customFormat="1" ht="19.5" customHeight="1" x14ac:dyDescent="0.4">
      <c r="B21" s="271" t="s">
        <v>579</v>
      </c>
      <c r="C21" s="260">
        <v>2279.1350000000002</v>
      </c>
      <c r="D21" s="260">
        <v>2500.1993455800002</v>
      </c>
      <c r="E21" s="269">
        <v>2440.6916056599998</v>
      </c>
      <c r="F21" s="260">
        <v>2489.33557746</v>
      </c>
      <c r="G21" s="260">
        <v>2528.9817922500001</v>
      </c>
      <c r="H21" s="269">
        <v>2600.5399731699999</v>
      </c>
      <c r="I21" s="269">
        <v>2573.9745949800003</v>
      </c>
      <c r="J21" s="269">
        <v>2545.0944952700002</v>
      </c>
      <c r="K21" s="269">
        <v>2553.9436663500001</v>
      </c>
      <c r="L21" s="269">
        <v>2580.855</v>
      </c>
      <c r="M21" s="919">
        <v>2587.3810536400001</v>
      </c>
      <c r="N21" s="270">
        <v>2813.2108746700001</v>
      </c>
      <c r="O21" s="261"/>
      <c r="P21" s="290">
        <f t="shared" si="0"/>
        <v>8.7281237803104483E-2</v>
      </c>
      <c r="Q21" s="38"/>
      <c r="R21" s="1037"/>
      <c r="S21" s="38"/>
      <c r="U21" s="50"/>
    </row>
    <row r="22" spans="2:24" s="9" customFormat="1" ht="19.5" customHeight="1" x14ac:dyDescent="0.4">
      <c r="B22" s="271" t="s">
        <v>580</v>
      </c>
      <c r="C22" s="260">
        <v>5899.0709999999999</v>
      </c>
      <c r="D22" s="260">
        <v>5893.2340000000004</v>
      </c>
      <c r="E22" s="269">
        <v>5801.2669999999998</v>
      </c>
      <c r="F22" s="260">
        <v>5703.1729999999998</v>
      </c>
      <c r="G22" s="260">
        <v>5616.06</v>
      </c>
      <c r="H22" s="269">
        <v>5505.9870000000001</v>
      </c>
      <c r="I22" s="269">
        <v>5396.4491683299993</v>
      </c>
      <c r="J22" s="269">
        <v>5363.3379999999997</v>
      </c>
      <c r="K22" s="269">
        <v>5266.2749999999996</v>
      </c>
      <c r="L22" s="269">
        <v>5174.1779999999999</v>
      </c>
      <c r="M22" s="919">
        <v>5089.8809310200004</v>
      </c>
      <c r="N22" s="270">
        <v>5256.86</v>
      </c>
      <c r="O22" s="261"/>
      <c r="P22" s="290">
        <f t="shared" si="0"/>
        <v>3.2806085494526016E-2</v>
      </c>
      <c r="Q22" s="38"/>
      <c r="R22" s="1037"/>
      <c r="S22" s="723"/>
    </row>
    <row r="23" spans="2:24" s="9" customFormat="1" ht="19.5" customHeight="1" x14ac:dyDescent="0.4">
      <c r="B23" s="271" t="s">
        <v>581</v>
      </c>
      <c r="C23" s="260">
        <v>3671.598</v>
      </c>
      <c r="D23" s="260">
        <v>3611.9010000000003</v>
      </c>
      <c r="E23" s="269">
        <v>3598.4180000000001</v>
      </c>
      <c r="F23" s="260">
        <v>3157.6060000000002</v>
      </c>
      <c r="G23" s="260">
        <v>3156.7610000000004</v>
      </c>
      <c r="H23" s="269">
        <v>3223.2190000000001</v>
      </c>
      <c r="I23" s="269">
        <v>3119.5110587400004</v>
      </c>
      <c r="J23" s="269">
        <v>2613.9740000000002</v>
      </c>
      <c r="K23" s="269">
        <v>2473.0590000000002</v>
      </c>
      <c r="L23" s="269">
        <v>2612.3150000000001</v>
      </c>
      <c r="M23" s="919">
        <v>2595.4801648900002</v>
      </c>
      <c r="N23" s="270">
        <v>2870.9180000000001</v>
      </c>
      <c r="O23" s="261"/>
      <c r="P23" s="290">
        <f t="shared" si="0"/>
        <v>0.10612211136727123</v>
      </c>
      <c r="Q23" s="38"/>
      <c r="R23" s="1037"/>
      <c r="S23" s="723"/>
    </row>
    <row r="24" spans="2:24" s="9" customFormat="1" ht="19.5" customHeight="1" x14ac:dyDescent="0.4">
      <c r="B24" s="271" t="s">
        <v>720</v>
      </c>
      <c r="C24" s="260">
        <v>359.916</v>
      </c>
      <c r="D24" s="260">
        <v>407.24099999999999</v>
      </c>
      <c r="E24" s="269">
        <v>279.65800000000002</v>
      </c>
      <c r="F24" s="260">
        <v>240.7</v>
      </c>
      <c r="G24" s="260">
        <v>237.60400000000001</v>
      </c>
      <c r="H24" s="269">
        <v>218.11699999999999</v>
      </c>
      <c r="I24" s="269">
        <v>141.54714231999998</v>
      </c>
      <c r="J24" s="269">
        <v>465.03699999999998</v>
      </c>
      <c r="K24" s="269">
        <v>469.26400000000001</v>
      </c>
      <c r="L24" s="269">
        <v>420.88099999999997</v>
      </c>
      <c r="M24" s="919">
        <v>454.26683468999988</v>
      </c>
      <c r="N24" s="270">
        <v>390.97300000000001</v>
      </c>
      <c r="O24" s="261"/>
      <c r="P24" s="290">
        <f t="shared" si="0"/>
        <v>-0.13933184167669377</v>
      </c>
      <c r="Q24" s="38"/>
      <c r="R24" s="1037"/>
      <c r="S24" s="723"/>
    </row>
    <row r="25" spans="2:24" s="9" customFormat="1" ht="29.25" customHeight="1" x14ac:dyDescent="0.25">
      <c r="B25" s="273" t="s">
        <v>582</v>
      </c>
      <c r="C25" s="262">
        <v>74679.885000000009</v>
      </c>
      <c r="D25" s="262">
        <v>76982.613345579986</v>
      </c>
      <c r="E25" s="262">
        <v>79258.884605659987</v>
      </c>
      <c r="F25" s="262">
        <v>76450.408577459995</v>
      </c>
      <c r="G25" s="262">
        <v>77250.432792250023</v>
      </c>
      <c r="H25" s="262">
        <v>76625.847973170006</v>
      </c>
      <c r="I25" s="262">
        <v>78790.432941050007</v>
      </c>
      <c r="J25" s="262">
        <v>80044.10249527001</v>
      </c>
      <c r="K25" s="262">
        <v>78820.243666349998</v>
      </c>
      <c r="L25" s="262">
        <v>81249.25999999998</v>
      </c>
      <c r="M25" s="283">
        <v>83059.418455009989</v>
      </c>
      <c r="N25" s="274">
        <v>90892.96687466999</v>
      </c>
      <c r="O25" s="261"/>
      <c r="P25" s="291">
        <f>N25/M25-1</f>
        <v>9.4312584477137085E-2</v>
      </c>
      <c r="Q25" s="287"/>
      <c r="R25" s="1037"/>
      <c r="S25" s="723"/>
      <c r="T25" s="51"/>
      <c r="U25" s="68"/>
    </row>
    <row r="26" spans="2:24" s="9" customFormat="1" ht="18.75" customHeight="1" x14ac:dyDescent="0.4">
      <c r="B26" s="275"/>
      <c r="C26" s="263"/>
      <c r="D26" s="263"/>
      <c r="E26" s="276"/>
      <c r="F26" s="263"/>
      <c r="G26" s="263"/>
      <c r="H26" s="263"/>
      <c r="I26" s="276"/>
      <c r="J26" s="276"/>
      <c r="K26" s="276"/>
      <c r="L26" s="276"/>
      <c r="M26" s="920"/>
      <c r="N26" s="277"/>
      <c r="O26" s="261"/>
      <c r="P26" s="290"/>
    </row>
    <row r="27" spans="2:24" ht="19.5" customHeight="1" x14ac:dyDescent="0.4">
      <c r="B27" s="268" t="s">
        <v>10</v>
      </c>
      <c r="C27" s="263"/>
      <c r="D27" s="263"/>
      <c r="E27" s="276"/>
      <c r="F27" s="263"/>
      <c r="G27" s="263"/>
      <c r="H27" s="263"/>
      <c r="I27" s="276"/>
      <c r="J27" s="276"/>
      <c r="K27" s="276"/>
      <c r="L27" s="276"/>
      <c r="M27" s="920"/>
      <c r="N27" s="277"/>
      <c r="O27" s="259"/>
      <c r="P27" s="290"/>
    </row>
    <row r="28" spans="2:24" s="9" customFormat="1" ht="19.5" customHeight="1" x14ac:dyDescent="0.4">
      <c r="B28" s="271" t="s">
        <v>583</v>
      </c>
      <c r="C28" s="260">
        <v>6914.1940000000004</v>
      </c>
      <c r="D28" s="260">
        <v>7657.5020000000004</v>
      </c>
      <c r="E28" s="269">
        <v>8748.9509999999991</v>
      </c>
      <c r="F28" s="260">
        <v>4618.2560000000003</v>
      </c>
      <c r="G28" s="260">
        <v>6107.8720000000003</v>
      </c>
      <c r="H28" s="269">
        <v>3506.8319999999999</v>
      </c>
      <c r="I28" s="269">
        <v>3493.7685711099998</v>
      </c>
      <c r="J28" s="269">
        <v>2377.6129999999998</v>
      </c>
      <c r="K28" s="269">
        <v>2288.181</v>
      </c>
      <c r="L28" s="269">
        <v>2459.877</v>
      </c>
      <c r="M28" s="919">
        <v>2977.5934828599998</v>
      </c>
      <c r="N28" s="270">
        <v>3628.6060000000002</v>
      </c>
      <c r="O28" s="264"/>
      <c r="P28" s="290">
        <f>N28/M28-1</f>
        <v>0.21863713797314555</v>
      </c>
      <c r="Q28" s="38"/>
      <c r="R28" s="1037"/>
      <c r="S28" s="723"/>
    </row>
    <row r="29" spans="2:24" s="9" customFormat="1" ht="19.5" customHeight="1" x14ac:dyDescent="0.4">
      <c r="B29" s="278" t="s">
        <v>38</v>
      </c>
      <c r="C29" s="260">
        <v>5500</v>
      </c>
      <c r="D29" s="260">
        <v>5500</v>
      </c>
      <c r="E29" s="269">
        <v>5500</v>
      </c>
      <c r="F29" s="260">
        <v>3500</v>
      </c>
      <c r="G29" s="260">
        <v>3500</v>
      </c>
      <c r="H29" s="269">
        <v>1000</v>
      </c>
      <c r="I29" s="269">
        <v>1000</v>
      </c>
      <c r="J29" s="269">
        <v>0</v>
      </c>
      <c r="K29" s="269">
        <v>0</v>
      </c>
      <c r="L29" s="269">
        <v>0</v>
      </c>
      <c r="M29" s="919">
        <v>0</v>
      </c>
      <c r="N29" s="270">
        <v>0</v>
      </c>
      <c r="O29" s="264"/>
      <c r="P29" s="290" t="s">
        <v>143</v>
      </c>
      <c r="Q29" s="38"/>
      <c r="R29" s="1037"/>
      <c r="S29" s="723"/>
    </row>
    <row r="30" spans="2:24" s="9" customFormat="1" ht="19.5" customHeight="1" x14ac:dyDescent="0.4">
      <c r="B30" s="278" t="s">
        <v>39</v>
      </c>
      <c r="C30" s="260">
        <f t="shared" ref="C30:L30" si="1">C28-C29</f>
        <v>1414.1940000000004</v>
      </c>
      <c r="D30" s="260">
        <f t="shared" si="1"/>
        <v>2157.5020000000004</v>
      </c>
      <c r="E30" s="269">
        <f t="shared" si="1"/>
        <v>3248.9509999999991</v>
      </c>
      <c r="F30" s="260">
        <f t="shared" si="1"/>
        <v>1118.2560000000003</v>
      </c>
      <c r="G30" s="260">
        <f t="shared" si="1"/>
        <v>2607.8720000000003</v>
      </c>
      <c r="H30" s="269">
        <f t="shared" si="1"/>
        <v>2506.8319999999999</v>
      </c>
      <c r="I30" s="269">
        <f t="shared" si="1"/>
        <v>2493.7685711099998</v>
      </c>
      <c r="J30" s="269">
        <f t="shared" si="1"/>
        <v>2377.6129999999998</v>
      </c>
      <c r="K30" s="269">
        <f t="shared" si="1"/>
        <v>2288.181</v>
      </c>
      <c r="L30" s="269">
        <f t="shared" si="1"/>
        <v>2459.877</v>
      </c>
      <c r="M30" s="919">
        <f t="shared" ref="M30:N30" si="2">M28-M29</f>
        <v>2977.5934828599998</v>
      </c>
      <c r="N30" s="270">
        <f t="shared" si="2"/>
        <v>3628.6060000000002</v>
      </c>
      <c r="O30" s="264"/>
      <c r="P30" s="290">
        <f>N30/M30-1</f>
        <v>0.21863713797314555</v>
      </c>
      <c r="Q30" s="38"/>
      <c r="R30" s="1037"/>
      <c r="S30" s="723"/>
    </row>
    <row r="31" spans="2:24" s="9" customFormat="1" ht="19.5" customHeight="1" x14ac:dyDescent="0.4">
      <c r="B31" s="271" t="s">
        <v>584</v>
      </c>
      <c r="C31" s="260">
        <v>9.7000000000000003E-2</v>
      </c>
      <c r="D31" s="260">
        <v>9.7000000000000003E-2</v>
      </c>
      <c r="E31" s="269">
        <v>9.7000000000000003E-2</v>
      </c>
      <c r="F31" s="260">
        <v>9.7000000000000003E-2</v>
      </c>
      <c r="G31" s="260">
        <v>9.7000000000000003E-2</v>
      </c>
      <c r="H31" s="269">
        <v>9.7000000000000003E-2</v>
      </c>
      <c r="I31" s="269">
        <v>9.7113550000000007E-2</v>
      </c>
      <c r="J31" s="269">
        <v>9.7000000000000003E-2</v>
      </c>
      <c r="K31" s="269">
        <v>0</v>
      </c>
      <c r="L31" s="269">
        <v>0</v>
      </c>
      <c r="M31" s="919">
        <v>0</v>
      </c>
      <c r="N31" s="270">
        <v>0</v>
      </c>
      <c r="O31" s="264"/>
      <c r="P31" s="290" t="s">
        <v>143</v>
      </c>
      <c r="Q31" s="38"/>
      <c r="R31" s="1037"/>
      <c r="S31" s="723"/>
      <c r="T31" s="39"/>
      <c r="U31" s="39"/>
      <c r="V31" s="38"/>
      <c r="W31" s="95"/>
    </row>
    <row r="32" spans="2:24" s="9" customFormat="1" ht="19.5" customHeight="1" x14ac:dyDescent="0.4">
      <c r="B32" s="271" t="s">
        <v>358</v>
      </c>
      <c r="C32" s="260">
        <v>626.82399999999996</v>
      </c>
      <c r="D32" s="260">
        <v>632.13199999999995</v>
      </c>
      <c r="E32" s="269">
        <v>679.12199999999996</v>
      </c>
      <c r="F32" s="260">
        <v>295.39299999999997</v>
      </c>
      <c r="G32" s="260">
        <v>283.32299999999998</v>
      </c>
      <c r="H32" s="269">
        <v>296.51900000000001</v>
      </c>
      <c r="I32" s="269">
        <v>250.69169073</v>
      </c>
      <c r="J32" s="269">
        <v>255.2</v>
      </c>
      <c r="K32" s="269">
        <v>243.202</v>
      </c>
      <c r="L32" s="269">
        <v>242.45099999999999</v>
      </c>
      <c r="M32" s="919">
        <v>238.20874007</v>
      </c>
      <c r="N32" s="270">
        <v>253.36500000000001</v>
      </c>
      <c r="O32" s="264"/>
      <c r="P32" s="290">
        <f>N32/M32-1</f>
        <v>6.3625960682828886E-2</v>
      </c>
      <c r="Q32" s="38"/>
      <c r="R32" s="1037"/>
      <c r="S32" s="723"/>
      <c r="U32" s="39"/>
    </row>
    <row r="33" spans="2:27" s="9" customFormat="1" ht="19.5" customHeight="1" x14ac:dyDescent="0.4">
      <c r="B33" s="271" t="s">
        <v>585</v>
      </c>
      <c r="C33" s="260">
        <v>57173.915000000001</v>
      </c>
      <c r="D33" s="260">
        <v>58381.487999999998</v>
      </c>
      <c r="E33" s="269">
        <v>58663.074000000001</v>
      </c>
      <c r="F33" s="260">
        <v>59566.654999999999</v>
      </c>
      <c r="G33" s="260">
        <v>58590.697999999997</v>
      </c>
      <c r="H33" s="269">
        <v>59757.434000000001</v>
      </c>
      <c r="I33" s="269">
        <v>60540.007188800002</v>
      </c>
      <c r="J33" s="269">
        <v>62852.860999999997</v>
      </c>
      <c r="K33" s="269">
        <v>61439.182000000001</v>
      </c>
      <c r="L33" s="269">
        <v>62858.322999999997</v>
      </c>
      <c r="M33" s="919">
        <v>63869.2175345</v>
      </c>
      <c r="N33" s="270">
        <v>66544.067999999999</v>
      </c>
      <c r="O33" s="261"/>
      <c r="P33" s="290">
        <f t="shared" ref="P33:P34" si="3">N33/M33-1</f>
        <v>4.1880119543583394E-2</v>
      </c>
      <c r="Q33" s="38"/>
      <c r="R33" s="1037"/>
      <c r="S33" s="723"/>
      <c r="T33" s="69"/>
      <c r="U33" s="39"/>
      <c r="W33" s="39"/>
      <c r="Y33" s="39"/>
      <c r="Z33" s="38"/>
      <c r="AA33" s="38"/>
    </row>
    <row r="34" spans="2:27" s="13" customFormat="1" ht="19.5" customHeight="1" x14ac:dyDescent="0.4">
      <c r="B34" s="271" t="s">
        <v>586</v>
      </c>
      <c r="C34" s="260">
        <v>1783.144</v>
      </c>
      <c r="D34" s="260">
        <v>1773.7460000000001</v>
      </c>
      <c r="E34" s="269">
        <v>2308.1460000000002</v>
      </c>
      <c r="F34" s="260">
        <v>2825.1149999999998</v>
      </c>
      <c r="G34" s="260">
        <v>3002.3990000000003</v>
      </c>
      <c r="H34" s="269">
        <v>3428.4289999999996</v>
      </c>
      <c r="I34" s="269">
        <v>4358.7717403500001</v>
      </c>
      <c r="J34" s="269">
        <v>4518.1900000000005</v>
      </c>
      <c r="K34" s="269">
        <v>4424.9749999999995</v>
      </c>
      <c r="L34" s="269">
        <v>4923.2250000000004</v>
      </c>
      <c r="M34" s="919">
        <v>4887.7939999999999</v>
      </c>
      <c r="N34" s="270">
        <v>5700.4259999999995</v>
      </c>
      <c r="O34" s="261"/>
      <c r="P34" s="290">
        <f t="shared" si="3"/>
        <v>0.16625741592219301</v>
      </c>
      <c r="Q34" s="38"/>
      <c r="R34" s="1037"/>
      <c r="S34" s="723"/>
    </row>
    <row r="35" spans="2:27" s="13" customFormat="1" ht="19.5" customHeight="1" x14ac:dyDescent="0.4">
      <c r="B35" s="271" t="s">
        <v>587</v>
      </c>
      <c r="C35" s="260"/>
      <c r="D35" s="260"/>
      <c r="E35" s="269"/>
      <c r="F35" s="260"/>
      <c r="G35" s="260"/>
      <c r="H35" s="269"/>
      <c r="I35" s="269"/>
      <c r="J35" s="269"/>
      <c r="K35" s="269"/>
      <c r="L35" s="269"/>
      <c r="M35" s="919"/>
      <c r="N35" s="270">
        <v>3260.5559999999996</v>
      </c>
      <c r="O35" s="261"/>
      <c r="P35" s="290" t="s">
        <v>143</v>
      </c>
      <c r="Q35" s="38"/>
      <c r="R35" s="1037"/>
      <c r="S35" s="723"/>
    </row>
    <row r="36" spans="2:27" s="9" customFormat="1" ht="19.5" customHeight="1" x14ac:dyDescent="0.4">
      <c r="B36" s="271" t="s">
        <v>588</v>
      </c>
      <c r="C36" s="260">
        <v>9.9640000000000004</v>
      </c>
      <c r="D36" s="260">
        <v>9.1920000000000002</v>
      </c>
      <c r="E36" s="269">
        <v>8.8620000000000001</v>
      </c>
      <c r="F36" s="260">
        <v>9.3369999999999997</v>
      </c>
      <c r="G36" s="260">
        <v>9.702</v>
      </c>
      <c r="H36" s="269">
        <v>9.5609999999999999</v>
      </c>
      <c r="I36" s="269">
        <v>9.9992052399999984</v>
      </c>
      <c r="J36" s="269">
        <v>9.077</v>
      </c>
      <c r="K36" s="269">
        <v>9.0050000000000008</v>
      </c>
      <c r="L36" s="269">
        <v>9.3670000000000009</v>
      </c>
      <c r="M36" s="919">
        <v>10.81371214</v>
      </c>
      <c r="N36" s="270">
        <v>11.971</v>
      </c>
      <c r="O36" s="261"/>
      <c r="P36" s="290">
        <f>N36/M36-1</f>
        <v>0.10702040566802062</v>
      </c>
      <c r="Q36" s="38"/>
      <c r="R36" s="1037"/>
      <c r="S36" s="723"/>
      <c r="T36" s="70"/>
    </row>
    <row r="37" spans="2:27" s="9" customFormat="1" ht="19.5" customHeight="1" x14ac:dyDescent="0.4">
      <c r="B37" s="271" t="s">
        <v>589</v>
      </c>
      <c r="C37" s="260">
        <v>52.134</v>
      </c>
      <c r="D37" s="260">
        <v>49.935000000000002</v>
      </c>
      <c r="E37" s="269">
        <v>48.396999999999998</v>
      </c>
      <c r="F37" s="260">
        <v>52.414999999999999</v>
      </c>
      <c r="G37" s="260">
        <v>50.595999999999997</v>
      </c>
      <c r="H37" s="269">
        <v>49.274999999999999</v>
      </c>
      <c r="I37" s="269">
        <v>49.374451899999997</v>
      </c>
      <c r="J37" s="269">
        <v>62.463000000000001</v>
      </c>
      <c r="K37" s="269">
        <v>58.704000000000001</v>
      </c>
      <c r="L37" s="269">
        <v>55.942999999999998</v>
      </c>
      <c r="M37" s="919">
        <v>54.584000000000003</v>
      </c>
      <c r="N37" s="270">
        <v>157.482</v>
      </c>
      <c r="O37" s="261"/>
      <c r="P37" s="290">
        <f t="shared" ref="P37:P38" si="4">N37/M37-1</f>
        <v>1.885131173970394</v>
      </c>
      <c r="Q37" s="38"/>
      <c r="R37" s="1037"/>
      <c r="S37" s="723"/>
    </row>
    <row r="38" spans="2:27" s="9" customFormat="1" ht="19.5" customHeight="1" x14ac:dyDescent="0.4">
      <c r="B38" s="271" t="s">
        <v>590</v>
      </c>
      <c r="C38" s="260">
        <v>1354.3989999999999</v>
      </c>
      <c r="D38" s="260">
        <v>1585.8819999999998</v>
      </c>
      <c r="E38" s="269">
        <v>1656.9110000000001</v>
      </c>
      <c r="F38" s="260">
        <v>1729.683</v>
      </c>
      <c r="G38" s="260">
        <v>1615.1950000000002</v>
      </c>
      <c r="H38" s="269">
        <v>1773.2529999999999</v>
      </c>
      <c r="I38" s="269">
        <v>1937.4632054999997</v>
      </c>
      <c r="J38" s="269">
        <v>1695.8110000000001</v>
      </c>
      <c r="K38" s="269">
        <v>1769.4319999999998</v>
      </c>
      <c r="L38" s="269">
        <v>1835.384</v>
      </c>
      <c r="M38" s="919">
        <v>1894.6326229900001</v>
      </c>
      <c r="N38" s="270">
        <v>1957.7489999999998</v>
      </c>
      <c r="O38" s="261"/>
      <c r="P38" s="290">
        <f t="shared" si="4"/>
        <v>3.3313253579679847E-2</v>
      </c>
      <c r="Q38" s="38"/>
      <c r="R38" s="1037"/>
      <c r="S38" s="723"/>
      <c r="T38" s="40"/>
    </row>
    <row r="39" spans="2:27" s="9" customFormat="1" ht="19.5" customHeight="1" x14ac:dyDescent="0.4">
      <c r="B39" s="271" t="s">
        <v>591</v>
      </c>
      <c r="C39" s="260">
        <v>0</v>
      </c>
      <c r="D39" s="260">
        <v>0</v>
      </c>
      <c r="E39" s="269">
        <v>0</v>
      </c>
      <c r="F39" s="260">
        <v>0</v>
      </c>
      <c r="G39" s="260">
        <v>0</v>
      </c>
      <c r="H39" s="269">
        <v>0</v>
      </c>
      <c r="I39" s="269">
        <v>0</v>
      </c>
      <c r="J39" s="269">
        <v>0</v>
      </c>
      <c r="K39" s="269">
        <v>0</v>
      </c>
      <c r="L39" s="269">
        <v>0</v>
      </c>
      <c r="M39" s="919">
        <v>0</v>
      </c>
      <c r="N39" s="270">
        <v>0</v>
      </c>
      <c r="O39" s="261"/>
      <c r="P39" s="290" t="s">
        <v>143</v>
      </c>
      <c r="Q39" s="38"/>
      <c r="R39" s="1037"/>
      <c r="S39" s="723"/>
    </row>
    <row r="40" spans="2:27" s="9" customFormat="1" ht="29.25" customHeight="1" x14ac:dyDescent="0.25">
      <c r="B40" s="273" t="s">
        <v>592</v>
      </c>
      <c r="C40" s="262">
        <v>67914.671000000017</v>
      </c>
      <c r="D40" s="262">
        <v>70089.973999999973</v>
      </c>
      <c r="E40" s="262">
        <v>72113.559999999983</v>
      </c>
      <c r="F40" s="262">
        <v>69096.950999999986</v>
      </c>
      <c r="G40" s="262">
        <v>69659.882000000012</v>
      </c>
      <c r="H40" s="262">
        <v>68821.399999999994</v>
      </c>
      <c r="I40" s="262">
        <v>70640.173167180008</v>
      </c>
      <c r="J40" s="262">
        <v>71771.311999999991</v>
      </c>
      <c r="K40" s="262">
        <v>70232.680999999997</v>
      </c>
      <c r="L40" s="262">
        <v>72384.570000000007</v>
      </c>
      <c r="M40" s="283">
        <v>73932.844092560001</v>
      </c>
      <c r="N40" s="274">
        <v>81514.223000000013</v>
      </c>
      <c r="O40" s="261"/>
      <c r="P40" s="291">
        <f>N40/M40-1</f>
        <v>0.10254412636890486</v>
      </c>
      <c r="Q40" s="38"/>
      <c r="R40" s="1037"/>
      <c r="S40" s="723"/>
      <c r="U40" s="51"/>
    </row>
    <row r="41" spans="2:27" s="9" customFormat="1" ht="19.5" customHeight="1" x14ac:dyDescent="0.4">
      <c r="B41" s="271" t="s">
        <v>593</v>
      </c>
      <c r="C41" s="260">
        <v>6138.3770000000013</v>
      </c>
      <c r="D41" s="260">
        <v>6250.2910000000002</v>
      </c>
      <c r="E41" s="269">
        <v>6503.2379999999994</v>
      </c>
      <c r="F41" s="260">
        <v>6697.9219999999996</v>
      </c>
      <c r="G41" s="260">
        <v>6935.3059999999996</v>
      </c>
      <c r="H41" s="269">
        <v>7148.027</v>
      </c>
      <c r="I41" s="269">
        <v>7477.2011014899999</v>
      </c>
      <c r="J41" s="269">
        <v>7616.7569999999996</v>
      </c>
      <c r="K41" s="269">
        <v>7917.0099999999993</v>
      </c>
      <c r="L41" s="269">
        <v>7791.1509999999989</v>
      </c>
      <c r="M41" s="919">
        <v>8047.9006562799996</v>
      </c>
      <c r="N41" s="270">
        <v>8095.1379999999999</v>
      </c>
      <c r="O41" s="261"/>
      <c r="P41" s="290">
        <f>N41/M41-1</f>
        <v>5.8695237102783793E-3</v>
      </c>
      <c r="R41" s="1037"/>
      <c r="S41" s="723"/>
    </row>
    <row r="42" spans="2:27" s="9" customFormat="1" ht="19.5" customHeight="1" x14ac:dyDescent="0.4">
      <c r="B42" s="271" t="s">
        <v>594</v>
      </c>
      <c r="C42" s="260">
        <v>600</v>
      </c>
      <c r="D42" s="260">
        <v>600</v>
      </c>
      <c r="E42" s="269">
        <v>600</v>
      </c>
      <c r="F42" s="260">
        <v>600</v>
      </c>
      <c r="G42" s="260">
        <v>600</v>
      </c>
      <c r="H42" s="269">
        <v>600</v>
      </c>
      <c r="I42" s="269">
        <v>600</v>
      </c>
      <c r="J42" s="269">
        <v>600</v>
      </c>
      <c r="K42" s="269">
        <v>600</v>
      </c>
      <c r="L42" s="269">
        <v>1000</v>
      </c>
      <c r="M42" s="919">
        <v>1000</v>
      </c>
      <c r="N42" s="270">
        <v>1204.1959999999999</v>
      </c>
      <c r="O42" s="261"/>
      <c r="P42" s="290">
        <f t="shared" ref="P42:P43" si="5">N42/M42-1</f>
        <v>0.20419599999999982</v>
      </c>
      <c r="R42" s="1037"/>
      <c r="S42" s="723"/>
    </row>
    <row r="43" spans="2:27" s="9" customFormat="1" ht="19.5" customHeight="1" x14ac:dyDescent="0.4">
      <c r="B43" s="271" t="s">
        <v>595</v>
      </c>
      <c r="C43" s="260">
        <v>26.838000000000001</v>
      </c>
      <c r="D43" s="260">
        <v>42.353000000000002</v>
      </c>
      <c r="E43" s="269">
        <v>42.085999999999999</v>
      </c>
      <c r="F43" s="260">
        <v>55.539000000000001</v>
      </c>
      <c r="G43" s="260">
        <v>55.247</v>
      </c>
      <c r="H43" s="269">
        <v>56.423000000000002</v>
      </c>
      <c r="I43" s="269">
        <v>73.058672340000001</v>
      </c>
      <c r="J43" s="269">
        <v>56.034999999999997</v>
      </c>
      <c r="K43" s="269">
        <v>70.557000000000002</v>
      </c>
      <c r="L43" s="269">
        <v>73.540000000000006</v>
      </c>
      <c r="M43" s="919">
        <v>78.674361270000006</v>
      </c>
      <c r="N43" s="270">
        <v>79.411000000000001</v>
      </c>
      <c r="O43" s="261"/>
      <c r="P43" s="290">
        <f t="shared" si="5"/>
        <v>9.3631358184396163E-3</v>
      </c>
      <c r="R43" s="1037"/>
      <c r="S43" s="723"/>
    </row>
    <row r="44" spans="2:27" s="9" customFormat="1" ht="19.5" customHeight="1" x14ac:dyDescent="0.25">
      <c r="B44" s="273" t="s">
        <v>596</v>
      </c>
      <c r="C44" s="266">
        <v>6765.2150000000011</v>
      </c>
      <c r="D44" s="266">
        <v>6892.6440000000002</v>
      </c>
      <c r="E44" s="266">
        <v>7145.3239999999996</v>
      </c>
      <c r="F44" s="266">
        <v>7353.4609999999993</v>
      </c>
      <c r="G44" s="266">
        <v>7590.5529999999999</v>
      </c>
      <c r="H44" s="266">
        <v>7804.45</v>
      </c>
      <c r="I44" s="266">
        <v>8150.2597738300001</v>
      </c>
      <c r="J44" s="266">
        <v>8272.7919999999976</v>
      </c>
      <c r="K44" s="266">
        <v>8587.5669999999991</v>
      </c>
      <c r="L44" s="266">
        <v>8864.6910000000007</v>
      </c>
      <c r="M44" s="284">
        <v>9126.5750175499979</v>
      </c>
      <c r="N44" s="279">
        <v>9378.7450000000008</v>
      </c>
      <c r="O44" s="261"/>
      <c r="P44" s="291">
        <f>N44/M44-1</f>
        <v>2.7630297451682662E-2</v>
      </c>
      <c r="Q44" s="38"/>
      <c r="R44" s="1037"/>
      <c r="S44" s="723"/>
      <c r="U44" s="38"/>
    </row>
    <row r="45" spans="2:27" s="9" customFormat="1" ht="19.5" customHeight="1" x14ac:dyDescent="0.4">
      <c r="B45" s="271" t="s">
        <v>597</v>
      </c>
      <c r="C45" s="263">
        <f t="shared" ref="C45:I45" si="6">C44-C43-C42-C20-C19</f>
        <v>5825.1000000000013</v>
      </c>
      <c r="D45" s="263">
        <f t="shared" si="6"/>
        <v>5920.1890000000003</v>
      </c>
      <c r="E45" s="276">
        <f t="shared" si="6"/>
        <v>6170.9859999999999</v>
      </c>
      <c r="F45" s="263">
        <f t="shared" si="6"/>
        <v>6350.7679999999991</v>
      </c>
      <c r="G45" s="263">
        <f t="shared" si="6"/>
        <v>6589.1209999999992</v>
      </c>
      <c r="H45" s="276">
        <f t="shared" si="6"/>
        <v>6782.14</v>
      </c>
      <c r="I45" s="276">
        <f t="shared" si="6"/>
        <v>7092.0439822899998</v>
      </c>
      <c r="J45" s="276">
        <v>7200.2519999999977</v>
      </c>
      <c r="K45" s="276">
        <v>7500.9569999999985</v>
      </c>
      <c r="L45" s="276">
        <v>7358.0069999999996</v>
      </c>
      <c r="M45" s="920">
        <v>7600.4216562799984</v>
      </c>
      <c r="N45" s="277">
        <v>7277.5800000000008</v>
      </c>
      <c r="O45" s="261"/>
      <c r="P45" s="290">
        <f>N45/M45-1</f>
        <v>-4.2476808640378949E-2</v>
      </c>
      <c r="Q45" s="38"/>
      <c r="R45" s="1037"/>
      <c r="S45" s="723"/>
    </row>
    <row r="46" spans="2:27" s="9" customFormat="1" ht="29.25" customHeight="1" x14ac:dyDescent="0.25">
      <c r="B46" s="280" t="s">
        <v>598</v>
      </c>
      <c r="C46" s="281">
        <v>74679.886000000013</v>
      </c>
      <c r="D46" s="281">
        <v>76982.617999999973</v>
      </c>
      <c r="E46" s="281">
        <v>79258.883999999976</v>
      </c>
      <c r="F46" s="281">
        <v>76450.411999999982</v>
      </c>
      <c r="G46" s="281">
        <v>77250.435000000012</v>
      </c>
      <c r="H46" s="281">
        <v>76625.849999999991</v>
      </c>
      <c r="I46" s="281">
        <v>78790.432941010004</v>
      </c>
      <c r="J46" s="281">
        <v>80044.103999999992</v>
      </c>
      <c r="K46" s="281">
        <v>78820.247999999992</v>
      </c>
      <c r="L46" s="281">
        <v>81249.261000000013</v>
      </c>
      <c r="M46" s="285">
        <v>83059.41911011</v>
      </c>
      <c r="N46" s="282">
        <v>90892.968000000008</v>
      </c>
      <c r="O46" s="261"/>
      <c r="P46" s="292">
        <f>N46/M46-1</f>
        <v>9.4312589394650592E-2</v>
      </c>
      <c r="Q46" s="38"/>
      <c r="R46" s="1038"/>
      <c r="S46" s="723"/>
    </row>
    <row r="47" spans="2:27" ht="12.75" customHeight="1" x14ac:dyDescent="0.25">
      <c r="B47" s="265"/>
      <c r="C47" s="265"/>
      <c r="D47" s="265"/>
      <c r="E47" s="265"/>
      <c r="F47" s="265"/>
      <c r="G47" s="265"/>
      <c r="H47" s="265"/>
      <c r="I47" s="265"/>
      <c r="J47" s="265"/>
      <c r="K47" s="265"/>
      <c r="L47" s="265"/>
      <c r="M47" s="265"/>
      <c r="N47" s="265"/>
      <c r="O47" s="259"/>
      <c r="P47" s="265"/>
      <c r="S47" s="9"/>
    </row>
    <row r="48" spans="2:27" ht="18" customHeight="1" x14ac:dyDescent="0.25">
      <c r="B48" s="1046"/>
      <c r="C48" s="1046"/>
      <c r="D48" s="1046"/>
      <c r="E48" s="1046"/>
      <c r="F48" s="1046"/>
      <c r="G48" s="1046"/>
      <c r="H48" s="1046"/>
      <c r="I48" s="1046"/>
      <c r="J48" s="1046"/>
      <c r="K48" s="1046"/>
      <c r="L48" s="1046"/>
      <c r="M48" s="1046"/>
      <c r="N48" s="1046"/>
      <c r="O48" s="1046"/>
      <c r="P48" s="1046"/>
    </row>
    <row r="49" spans="2:16" ht="18" customHeight="1" x14ac:dyDescent="0.25">
      <c r="B49" s="1046"/>
      <c r="C49" s="1046"/>
      <c r="D49" s="1046"/>
      <c r="E49" s="1046"/>
      <c r="F49" s="1046"/>
      <c r="G49" s="1046"/>
      <c r="H49" s="1046"/>
      <c r="I49" s="1046"/>
      <c r="J49" s="1046"/>
      <c r="K49" s="1046"/>
      <c r="L49" s="1046"/>
      <c r="M49" s="1046"/>
      <c r="N49" s="1046"/>
      <c r="O49" s="1046"/>
      <c r="P49" s="1046"/>
    </row>
    <row r="50" spans="2:16" x14ac:dyDescent="0.25">
      <c r="B50" s="1046"/>
      <c r="C50" s="1046"/>
      <c r="D50" s="1046"/>
      <c r="E50" s="1046"/>
      <c r="F50" s="1046"/>
      <c r="G50" s="1046"/>
      <c r="H50" s="1046"/>
      <c r="I50" s="1046"/>
      <c r="J50" s="1046"/>
      <c r="K50" s="1046"/>
      <c r="L50" s="1046"/>
      <c r="M50" s="1046"/>
      <c r="N50" s="1046"/>
      <c r="O50" s="1046"/>
      <c r="P50" s="1046"/>
    </row>
    <row r="51" spans="2:16" x14ac:dyDescent="0.25">
      <c r="B51" s="1046"/>
      <c r="C51" s="1046"/>
      <c r="D51" s="1046"/>
      <c r="E51" s="1046"/>
      <c r="F51" s="1046"/>
      <c r="G51" s="1046"/>
      <c r="H51" s="1046"/>
      <c r="I51" s="1046"/>
      <c r="J51" s="1046"/>
      <c r="K51" s="1046"/>
      <c r="L51" s="1046"/>
      <c r="M51" s="1046"/>
      <c r="N51" s="1046"/>
      <c r="O51" s="1046"/>
      <c r="P51" s="1046"/>
    </row>
    <row r="52" spans="2:16" x14ac:dyDescent="0.25">
      <c r="B52" s="1046"/>
      <c r="C52" s="1046"/>
      <c r="D52" s="1046"/>
      <c r="E52" s="1046"/>
      <c r="F52" s="1046"/>
      <c r="G52" s="1046"/>
      <c r="H52" s="1046"/>
      <c r="I52" s="1046"/>
      <c r="J52" s="1046"/>
      <c r="K52" s="1046"/>
      <c r="L52" s="1046"/>
      <c r="M52" s="1046"/>
      <c r="N52" s="1046"/>
      <c r="O52" s="1046"/>
      <c r="P52" s="1046"/>
    </row>
    <row r="53" spans="2:16" ht="15.75" customHeight="1" x14ac:dyDescent="0.25">
      <c r="B53" s="1046"/>
      <c r="C53" s="1046"/>
      <c r="D53" s="1046"/>
      <c r="E53" s="1046"/>
      <c r="F53" s="1046"/>
      <c r="G53" s="1046"/>
      <c r="H53" s="1046"/>
      <c r="I53" s="1046"/>
      <c r="J53" s="1046"/>
      <c r="K53" s="1046"/>
      <c r="L53" s="1046"/>
      <c r="M53" s="1046"/>
      <c r="N53" s="1046"/>
      <c r="O53" s="1046"/>
      <c r="P53" s="1046"/>
    </row>
    <row r="54" spans="2:16" x14ac:dyDescent="0.25">
      <c r="B54" s="1046"/>
      <c r="C54" s="1046"/>
      <c r="D54" s="1046"/>
      <c r="E54" s="1046"/>
      <c r="F54" s="1046"/>
      <c r="G54" s="1046"/>
      <c r="H54" s="1046"/>
      <c r="I54" s="1046"/>
      <c r="J54" s="1046"/>
      <c r="K54" s="1046"/>
      <c r="L54" s="1046"/>
      <c r="M54" s="1046"/>
      <c r="N54" s="1046"/>
      <c r="O54" s="1046"/>
      <c r="P54" s="1046"/>
    </row>
    <row r="55" spans="2:16" x14ac:dyDescent="0.25">
      <c r="B55" s="1046"/>
      <c r="C55" s="1046"/>
      <c r="D55" s="1046"/>
      <c r="E55" s="1046"/>
      <c r="F55" s="1046"/>
      <c r="G55" s="1046"/>
      <c r="H55" s="1046"/>
      <c r="I55" s="1046"/>
      <c r="J55" s="1046"/>
      <c r="K55" s="1046"/>
      <c r="L55" s="1046"/>
      <c r="M55" s="1046"/>
      <c r="N55" s="1046"/>
      <c r="O55" s="1046"/>
      <c r="P55" s="1046"/>
    </row>
    <row r="56" spans="2:16" x14ac:dyDescent="0.25">
      <c r="B56" s="1046"/>
      <c r="C56" s="1046"/>
      <c r="D56" s="1046"/>
      <c r="E56" s="1046"/>
      <c r="F56" s="1046"/>
      <c r="G56" s="1046"/>
      <c r="H56" s="1046"/>
      <c r="I56" s="1046"/>
      <c r="J56" s="1046"/>
      <c r="K56" s="1046"/>
      <c r="L56" s="1046"/>
      <c r="M56" s="1046"/>
      <c r="N56" s="1046"/>
      <c r="O56" s="1046"/>
      <c r="P56" s="1046"/>
    </row>
    <row r="57" spans="2:16" x14ac:dyDescent="0.25">
      <c r="B57" s="1046"/>
      <c r="C57" s="1046"/>
      <c r="D57" s="1046"/>
      <c r="E57" s="1046"/>
      <c r="F57" s="1046"/>
      <c r="G57" s="1046"/>
      <c r="H57" s="1046"/>
      <c r="I57" s="1046"/>
      <c r="J57" s="1046"/>
      <c r="K57" s="1046"/>
      <c r="L57" s="1046"/>
      <c r="M57" s="1046"/>
      <c r="N57" s="1046"/>
      <c r="O57" s="1046"/>
      <c r="P57" s="1046"/>
    </row>
    <row r="58" spans="2:16" x14ac:dyDescent="0.25">
      <c r="B58" s="1046"/>
      <c r="C58" s="1046"/>
      <c r="D58" s="1046"/>
      <c r="E58" s="1046"/>
      <c r="F58" s="1046"/>
      <c r="G58" s="1046"/>
      <c r="H58" s="1046"/>
      <c r="I58" s="1046"/>
      <c r="J58" s="1046"/>
      <c r="K58" s="1046"/>
      <c r="L58" s="1046"/>
      <c r="M58" s="1046"/>
      <c r="N58" s="1046"/>
      <c r="O58" s="1046"/>
      <c r="P58" s="1046"/>
    </row>
    <row r="59" spans="2:16" x14ac:dyDescent="0.25">
      <c r="B59" s="1046"/>
      <c r="C59" s="1046"/>
      <c r="D59" s="1046"/>
      <c r="E59" s="1046"/>
      <c r="F59" s="1046"/>
      <c r="G59" s="1046"/>
      <c r="H59" s="1046"/>
      <c r="I59" s="1046"/>
      <c r="J59" s="1046"/>
      <c r="K59" s="1046"/>
      <c r="L59" s="1046"/>
      <c r="M59" s="1046"/>
      <c r="N59" s="1046"/>
      <c r="O59" s="1046"/>
      <c r="P59" s="1046"/>
    </row>
  </sheetData>
  <mergeCells count="13">
    <mergeCell ref="B59:P59"/>
    <mergeCell ref="B58:P58"/>
    <mergeCell ref="B57:P57"/>
    <mergeCell ref="B56:P56"/>
    <mergeCell ref="B55:P55"/>
    <mergeCell ref="B54:P54"/>
    <mergeCell ref="B5:P5"/>
    <mergeCell ref="B51:P51"/>
    <mergeCell ref="B53:P53"/>
    <mergeCell ref="B50:P50"/>
    <mergeCell ref="B49:P49"/>
    <mergeCell ref="B48:P48"/>
    <mergeCell ref="B52:P52"/>
  </mergeCells>
  <hyperlinks>
    <hyperlink ref="P2" location="'Cover '!A1" display="Back to Cover" xr:uid="{00000000-0004-0000-0100-000000000000}"/>
  </hyperlinks>
  <printOptions horizontalCentered="1" verticalCentered="1"/>
  <pageMargins left="0" right="0" top="0" bottom="0" header="0" footer="0"/>
  <pageSetup paperSize="8" scale="70"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pageSetUpPr fitToPage="1"/>
  </sheetPr>
  <dimension ref="A1:R87"/>
  <sheetViews>
    <sheetView showGridLines="0" view="pageBreakPreview" zoomScale="85" zoomScaleNormal="90" zoomScaleSheetLayoutView="85" workbookViewId="0">
      <pane xSplit="2" ySplit="8" topLeftCell="C9" activePane="bottomRight" state="frozen"/>
      <selection activeCell="M28" sqref="M28"/>
      <selection pane="topRight" activeCell="M28" sqref="M28"/>
      <selection pane="bottomLeft" activeCell="M28" sqref="M28"/>
      <selection pane="bottomRight" activeCell="B5" sqref="B5:N5"/>
    </sheetView>
  </sheetViews>
  <sheetFormatPr defaultColWidth="9.109375" defaultRowHeight="13.8" x14ac:dyDescent="0.25"/>
  <cols>
    <col min="1" max="1" width="2.44140625" style="10" customWidth="1"/>
    <col min="2" max="2" width="82.88671875" style="10" customWidth="1"/>
    <col min="3" max="14" width="15" style="10" customWidth="1"/>
    <col min="15" max="15" width="2.44140625" style="10" customWidth="1"/>
    <col min="16" max="16" width="11.33203125" style="10" bestFit="1" customWidth="1"/>
    <col min="17" max="17" width="15" style="10" customWidth="1"/>
    <col min="18" max="18" width="9.88671875" style="10" bestFit="1" customWidth="1"/>
    <col min="19" max="16384" width="9.109375" style="10"/>
  </cols>
  <sheetData>
    <row r="1" spans="1:17" s="6" customFormat="1" ht="15.75" customHeight="1" x14ac:dyDescent="0.25">
      <c r="B1" s="10"/>
      <c r="C1" s="10"/>
      <c r="D1" s="10"/>
      <c r="E1" s="10"/>
      <c r="F1" s="10"/>
      <c r="G1" s="113"/>
      <c r="H1" s="113"/>
      <c r="I1" s="113"/>
      <c r="J1" s="113"/>
      <c r="K1" s="113"/>
      <c r="L1" s="113"/>
      <c r="M1" s="113"/>
      <c r="N1" s="113"/>
    </row>
    <row r="2" spans="1:17" s="6" customFormat="1" ht="15.75" customHeight="1" x14ac:dyDescent="0.25">
      <c r="B2" s="10"/>
      <c r="G2" s="112"/>
      <c r="H2" s="112"/>
      <c r="I2" s="112"/>
      <c r="J2" s="112"/>
      <c r="K2" s="112"/>
      <c r="L2" s="112"/>
      <c r="M2" s="112"/>
      <c r="N2" s="114" t="s">
        <v>18</v>
      </c>
    </row>
    <row r="3" spans="1:17" s="6" customFormat="1" ht="15.75" customHeight="1" x14ac:dyDescent="0.25">
      <c r="B3" s="10"/>
      <c r="C3" s="8"/>
      <c r="D3" s="8"/>
      <c r="E3" s="8"/>
      <c r="F3" s="8"/>
      <c r="G3" s="8"/>
      <c r="H3" s="8"/>
      <c r="I3" s="8"/>
      <c r="J3" s="8"/>
      <c r="K3" s="8"/>
      <c r="L3" s="8"/>
      <c r="M3" s="8"/>
    </row>
    <row r="4" spans="1:17" ht="15.75" customHeight="1" x14ac:dyDescent="0.25"/>
    <row r="5" spans="1:17" s="17" customFormat="1" ht="27.6" x14ac:dyDescent="0.25">
      <c r="A5" s="16"/>
      <c r="B5" s="1044" t="s">
        <v>23</v>
      </c>
      <c r="C5" s="1044"/>
      <c r="D5" s="1044"/>
      <c r="E5" s="1044"/>
      <c r="F5" s="1044"/>
      <c r="G5" s="1044"/>
      <c r="H5" s="1044"/>
      <c r="I5" s="1044"/>
      <c r="J5" s="1044"/>
      <c r="K5" s="1044"/>
      <c r="L5" s="1044"/>
      <c r="M5" s="1044"/>
      <c r="N5" s="1044"/>
    </row>
    <row r="6" spans="1:17" s="17" customFormat="1" ht="9" customHeight="1" x14ac:dyDescent="0.25">
      <c r="A6" s="16"/>
      <c r="B6" s="18"/>
      <c r="C6" s="18"/>
      <c r="D6" s="18"/>
      <c r="E6" s="18"/>
      <c r="F6" s="18"/>
      <c r="G6" s="18"/>
      <c r="H6" s="18"/>
      <c r="I6" s="18"/>
      <c r="J6" s="18"/>
      <c r="K6" s="18"/>
      <c r="L6" s="18"/>
      <c r="M6" s="18"/>
      <c r="N6" s="18"/>
    </row>
    <row r="7" spans="1:17" s="6" customFormat="1" ht="9" customHeight="1" x14ac:dyDescent="0.25">
      <c r="B7" s="10"/>
      <c r="C7" s="32"/>
      <c r="D7" s="32"/>
      <c r="E7" s="32"/>
      <c r="F7" s="32"/>
      <c r="G7" s="32"/>
      <c r="H7" s="32"/>
      <c r="I7" s="32"/>
      <c r="J7" s="32"/>
      <c r="K7" s="32"/>
      <c r="L7" s="32"/>
      <c r="M7" s="32"/>
      <c r="N7" s="32"/>
    </row>
    <row r="8" spans="1:17" s="6" customFormat="1" ht="16.5" customHeight="1" x14ac:dyDescent="0.25">
      <c r="B8" s="140" t="s">
        <v>0</v>
      </c>
      <c r="C8" s="294"/>
      <c r="D8" s="294"/>
      <c r="E8" s="294"/>
      <c r="F8" s="294"/>
      <c r="G8" s="294"/>
      <c r="H8" s="294"/>
      <c r="I8" s="294"/>
      <c r="J8" s="294"/>
      <c r="K8" s="294"/>
      <c r="L8" s="294"/>
      <c r="M8" s="294"/>
      <c r="N8" s="294"/>
    </row>
    <row r="9" spans="1:17" s="6" customFormat="1" ht="28.5" customHeight="1" x14ac:dyDescent="0.25">
      <c r="B9" s="304" t="s">
        <v>12</v>
      </c>
      <c r="C9" s="305">
        <v>45016</v>
      </c>
      <c r="D9" s="305">
        <v>45107</v>
      </c>
      <c r="E9" s="305">
        <v>45199</v>
      </c>
      <c r="F9" s="305">
        <v>45291</v>
      </c>
      <c r="G9" s="305">
        <v>45382</v>
      </c>
      <c r="H9" s="305">
        <v>45473</v>
      </c>
      <c r="I9" s="305">
        <v>45565</v>
      </c>
      <c r="J9" s="305">
        <v>45657</v>
      </c>
      <c r="K9" s="305">
        <v>45747</v>
      </c>
      <c r="L9" s="305">
        <v>45838</v>
      </c>
      <c r="M9" s="321">
        <v>45930</v>
      </c>
      <c r="N9" s="306">
        <v>46022</v>
      </c>
    </row>
    <row r="10" spans="1:17" s="9" customFormat="1" ht="20.25" customHeight="1" x14ac:dyDescent="0.25">
      <c r="B10" s="312" t="s">
        <v>197</v>
      </c>
      <c r="C10" s="296">
        <v>22157.69897689639</v>
      </c>
      <c r="D10" s="296">
        <v>22765.781737746929</v>
      </c>
      <c r="E10" s="295">
        <v>23140.533945541276</v>
      </c>
      <c r="F10" s="296">
        <v>23348.328471212411</v>
      </c>
      <c r="G10" s="296">
        <v>23201.651681614287</v>
      </c>
      <c r="H10" s="295">
        <v>24411.450497349593</v>
      </c>
      <c r="I10" s="295">
        <v>25073.099875854758</v>
      </c>
      <c r="J10" s="295">
        <v>26685.010276251669</v>
      </c>
      <c r="K10" s="295">
        <v>27847.635854964043</v>
      </c>
      <c r="L10" s="295">
        <v>28853.376471143194</v>
      </c>
      <c r="M10" s="902">
        <v>29657.32984573871</v>
      </c>
      <c r="N10" s="204">
        <v>29966.926922994233</v>
      </c>
      <c r="Q10" s="39"/>
    </row>
    <row r="11" spans="1:17" s="9" customFormat="1" ht="20.25" customHeight="1" x14ac:dyDescent="0.25">
      <c r="B11" s="312" t="s">
        <v>468</v>
      </c>
      <c r="C11" s="148"/>
      <c r="D11" s="148"/>
      <c r="E11" s="147"/>
      <c r="F11" s="148">
        <v>950.67031599999996</v>
      </c>
      <c r="G11" s="148"/>
      <c r="H11" s="147"/>
      <c r="I11" s="147"/>
      <c r="J11" s="147">
        <v>919.36909000000003</v>
      </c>
      <c r="K11" s="147">
        <v>574</v>
      </c>
      <c r="L11" s="147"/>
      <c r="M11" s="902"/>
      <c r="N11" s="204">
        <v>801.49804900000004</v>
      </c>
      <c r="P11" s="39"/>
    </row>
    <row r="12" spans="1:17" s="9" customFormat="1" ht="20.25" customHeight="1" x14ac:dyDescent="0.25">
      <c r="B12" s="312" t="s">
        <v>198</v>
      </c>
      <c r="C12" s="148">
        <v>6034.0444514236096</v>
      </c>
      <c r="D12" s="148">
        <v>5951.678018693071</v>
      </c>
      <c r="E12" s="147">
        <v>5900.8357836587293</v>
      </c>
      <c r="F12" s="148">
        <v>5984.423639567588</v>
      </c>
      <c r="G12" s="148">
        <v>5902.6959318857143</v>
      </c>
      <c r="H12" s="147">
        <v>5848.6639154404074</v>
      </c>
      <c r="I12" s="147">
        <v>5787.4663144752458</v>
      </c>
      <c r="J12" s="147">
        <v>5721.6914667183264</v>
      </c>
      <c r="K12" s="147">
        <v>5656.0063548559601</v>
      </c>
      <c r="L12" s="147">
        <v>5572.9545994468053</v>
      </c>
      <c r="M12" s="902">
        <v>5495.3634939712865</v>
      </c>
      <c r="N12" s="204">
        <v>5457.6334269657673</v>
      </c>
      <c r="Q12" s="39"/>
    </row>
    <row r="13" spans="1:17" s="9" customFormat="1" ht="20.25" customHeight="1" x14ac:dyDescent="0.25">
      <c r="B13" s="311" t="s">
        <v>63</v>
      </c>
      <c r="C13" s="144">
        <v>6756.6810806799995</v>
      </c>
      <c r="D13" s="144">
        <v>6518.5449783100003</v>
      </c>
      <c r="E13" s="145">
        <v>6475.5954380899993</v>
      </c>
      <c r="F13" s="144">
        <v>6453.9157924900001</v>
      </c>
      <c r="G13" s="144">
        <v>6425.0518739300005</v>
      </c>
      <c r="H13" s="145">
        <v>6420.10007391</v>
      </c>
      <c r="I13" s="145">
        <v>6420.8979262899993</v>
      </c>
      <c r="J13" s="145">
        <v>6304.6838918200001</v>
      </c>
      <c r="K13" s="145">
        <v>6251.5761441100003</v>
      </c>
      <c r="L13" s="145">
        <v>6274.6079953099998</v>
      </c>
      <c r="M13" s="900">
        <v>6318.6098259999999</v>
      </c>
      <c r="N13" s="202">
        <v>6416.9371659999997</v>
      </c>
      <c r="Q13" s="39"/>
    </row>
    <row r="14" spans="1:17" s="9" customFormat="1" ht="20.25" customHeight="1" x14ac:dyDescent="0.25">
      <c r="B14" s="311" t="s">
        <v>64</v>
      </c>
      <c r="C14" s="144">
        <v>1875.5284529999999</v>
      </c>
      <c r="D14" s="144">
        <v>1751.836632</v>
      </c>
      <c r="E14" s="145">
        <v>1781.2178739999999</v>
      </c>
      <c r="F14" s="144">
        <v>1661.032565</v>
      </c>
      <c r="G14" s="144">
        <v>1668.636293</v>
      </c>
      <c r="H14" s="145">
        <v>1718.3245320000001</v>
      </c>
      <c r="I14" s="145">
        <v>1754.779745</v>
      </c>
      <c r="J14" s="145">
        <v>1794.6513420000001</v>
      </c>
      <c r="K14" s="145">
        <v>1776.673057</v>
      </c>
      <c r="L14" s="145">
        <v>1840.7506639999999</v>
      </c>
      <c r="M14" s="900">
        <v>1887.7544109999999</v>
      </c>
      <c r="N14" s="202">
        <v>1850.23909</v>
      </c>
      <c r="Q14" s="39"/>
    </row>
    <row r="15" spans="1:17" s="9" customFormat="1" ht="20.25" customHeight="1" x14ac:dyDescent="0.25">
      <c r="B15" s="312" t="s">
        <v>65</v>
      </c>
      <c r="C15" s="296">
        <f t="shared" ref="C15:K15" si="0">C13+C14</f>
        <v>8632.2095336799994</v>
      </c>
      <c r="D15" s="296">
        <f t="shared" si="0"/>
        <v>8270.3816103099998</v>
      </c>
      <c r="E15" s="296">
        <f t="shared" si="0"/>
        <v>8256.8133120899984</v>
      </c>
      <c r="F15" s="296">
        <f t="shared" si="0"/>
        <v>8114.9483574900005</v>
      </c>
      <c r="G15" s="296">
        <f t="shared" si="0"/>
        <v>8093.6881669300001</v>
      </c>
      <c r="H15" s="296">
        <f t="shared" si="0"/>
        <v>8138.4246059100005</v>
      </c>
      <c r="I15" s="296">
        <f t="shared" si="0"/>
        <v>8175.6776712899991</v>
      </c>
      <c r="J15" s="296">
        <f t="shared" si="0"/>
        <v>8099.3352338200002</v>
      </c>
      <c r="K15" s="295">
        <f t="shared" si="0"/>
        <v>8028.2492011100003</v>
      </c>
      <c r="L15" s="295">
        <f>L13+L14</f>
        <v>8115.3586593099999</v>
      </c>
      <c r="M15" s="921">
        <f>M13+M14</f>
        <v>8206.3642369999998</v>
      </c>
      <c r="N15" s="307">
        <f>N13+N14</f>
        <v>8267.1762559999988</v>
      </c>
    </row>
    <row r="16" spans="1:17" s="9" customFormat="1" ht="20.25" customHeight="1" x14ac:dyDescent="0.25">
      <c r="B16" s="312" t="s">
        <v>199</v>
      </c>
      <c r="C16" s="296">
        <f>C10+C11+C12+C15</f>
        <v>36823.952961999996</v>
      </c>
      <c r="D16" s="296">
        <f t="shared" ref="D16:K16" si="1">D10+D11+D12+D15</f>
        <v>36987.841366749999</v>
      </c>
      <c r="E16" s="296">
        <f t="shared" si="1"/>
        <v>37298.183041290002</v>
      </c>
      <c r="F16" s="296">
        <f t="shared" si="1"/>
        <v>38398.370784269995</v>
      </c>
      <c r="G16" s="296">
        <f t="shared" si="1"/>
        <v>37198.03578043</v>
      </c>
      <c r="H16" s="296">
        <f t="shared" si="1"/>
        <v>38398.539018700001</v>
      </c>
      <c r="I16" s="296">
        <f t="shared" si="1"/>
        <v>39036.243861620002</v>
      </c>
      <c r="J16" s="296">
        <f t="shared" si="1"/>
        <v>41425.406066789998</v>
      </c>
      <c r="K16" s="295">
        <f t="shared" si="1"/>
        <v>42105.891410930009</v>
      </c>
      <c r="L16" s="295">
        <f>L10+L11+L12+L15</f>
        <v>42541.689729899997</v>
      </c>
      <c r="M16" s="921">
        <f>M10+M11+M12+M15</f>
        <v>43359.057576709994</v>
      </c>
      <c r="N16" s="307">
        <f>N10+N11+N12+N15</f>
        <v>44493.234654959997</v>
      </c>
      <c r="P16" s="39"/>
      <c r="Q16" s="39"/>
    </row>
    <row r="17" spans="2:17" s="9" customFormat="1" ht="20.25" customHeight="1" x14ac:dyDescent="0.25">
      <c r="B17" s="312"/>
      <c r="C17" s="296"/>
      <c r="D17" s="296"/>
      <c r="E17" s="295"/>
      <c r="F17" s="296"/>
      <c r="G17" s="296"/>
      <c r="H17" s="295"/>
      <c r="I17" s="295"/>
      <c r="J17" s="295"/>
      <c r="K17" s="295"/>
      <c r="L17" s="295"/>
      <c r="M17" s="921"/>
      <c r="N17" s="307"/>
    </row>
    <row r="18" spans="2:17" s="9" customFormat="1" ht="20.25" customHeight="1" x14ac:dyDescent="0.25">
      <c r="B18" s="313" t="s">
        <v>21</v>
      </c>
      <c r="C18" s="296"/>
      <c r="D18" s="296"/>
      <c r="E18" s="295"/>
      <c r="F18" s="296"/>
      <c r="G18" s="296"/>
      <c r="H18" s="295"/>
      <c r="I18" s="295"/>
      <c r="J18" s="295"/>
      <c r="K18" s="295"/>
      <c r="L18" s="295"/>
      <c r="M18" s="921"/>
      <c r="N18" s="307"/>
    </row>
    <row r="19" spans="2:17" s="9" customFormat="1" ht="20.25" customHeight="1" x14ac:dyDescent="0.25">
      <c r="B19" s="312" t="s">
        <v>197</v>
      </c>
      <c r="C19" s="162">
        <f t="shared" ref="C19:C25" si="2">+C10/C$16</f>
        <v>0.6017197284539697</v>
      </c>
      <c r="D19" s="162">
        <f t="shared" ref="D19:L19" si="3">+D10/D$16</f>
        <v>0.61549365674018741</v>
      </c>
      <c r="E19" s="156">
        <f t="shared" si="3"/>
        <v>0.62041987192577552</v>
      </c>
      <c r="F19" s="162">
        <f t="shared" si="3"/>
        <v>0.60805518552826521</v>
      </c>
      <c r="G19" s="162">
        <f t="shared" si="3"/>
        <v>0.62373324813620257</v>
      </c>
      <c r="H19" s="156">
        <f t="shared" si="3"/>
        <v>0.63573904427617078</v>
      </c>
      <c r="I19" s="156">
        <f t="shared" si="3"/>
        <v>0.6423030854284203</v>
      </c>
      <c r="J19" s="156">
        <f t="shared" si="3"/>
        <v>0.644170155706562</v>
      </c>
      <c r="K19" s="156">
        <f t="shared" si="3"/>
        <v>0.66137148322515371</v>
      </c>
      <c r="L19" s="156">
        <f t="shared" si="3"/>
        <v>0.67823766884520076</v>
      </c>
      <c r="M19" s="684">
        <f t="shared" ref="M19:N25" si="4">+M10/M$16</f>
        <v>0.68399387586479576</v>
      </c>
      <c r="N19" s="217">
        <f t="shared" si="4"/>
        <v>0.67351648302004474</v>
      </c>
    </row>
    <row r="20" spans="2:17" s="9" customFormat="1" ht="20.25" customHeight="1" x14ac:dyDescent="0.25">
      <c r="B20" s="312" t="s">
        <v>468</v>
      </c>
      <c r="C20" s="297">
        <f t="shared" si="2"/>
        <v>0</v>
      </c>
      <c r="D20" s="297">
        <f t="shared" ref="D20:L20" si="5">+D11/D$16</f>
        <v>0</v>
      </c>
      <c r="E20" s="320">
        <f t="shared" si="5"/>
        <v>0</v>
      </c>
      <c r="F20" s="297">
        <f t="shared" si="5"/>
        <v>2.4758089902851943E-2</v>
      </c>
      <c r="G20" s="297">
        <f t="shared" si="5"/>
        <v>0</v>
      </c>
      <c r="H20" s="320">
        <f t="shared" si="5"/>
        <v>0</v>
      </c>
      <c r="I20" s="320">
        <f t="shared" si="5"/>
        <v>0</v>
      </c>
      <c r="J20" s="320">
        <f t="shared" si="5"/>
        <v>2.219336337989555E-2</v>
      </c>
      <c r="K20" s="320">
        <f t="shared" si="5"/>
        <v>1.3632296592371843E-2</v>
      </c>
      <c r="L20" s="320">
        <f t="shared" si="5"/>
        <v>0</v>
      </c>
      <c r="M20" s="922">
        <f t="shared" si="4"/>
        <v>0</v>
      </c>
      <c r="N20" s="769">
        <f t="shared" si="4"/>
        <v>1.8013930774319439E-2</v>
      </c>
    </row>
    <row r="21" spans="2:17" s="9" customFormat="1" ht="20.25" customHeight="1" x14ac:dyDescent="0.25">
      <c r="B21" s="312" t="s">
        <v>198</v>
      </c>
      <c r="C21" s="297">
        <f t="shared" si="2"/>
        <v>0.16386194218883465</v>
      </c>
      <c r="D21" s="297">
        <f t="shared" ref="D21:L21" si="6">+D12/D$16</f>
        <v>0.16090903926183961</v>
      </c>
      <c r="E21" s="320">
        <f t="shared" si="6"/>
        <v>0.15820705735521645</v>
      </c>
      <c r="F21" s="297">
        <f t="shared" si="6"/>
        <v>0.15585097798001171</v>
      </c>
      <c r="G21" s="297">
        <f t="shared" si="6"/>
        <v>0.15868300054141946</v>
      </c>
      <c r="H21" s="320">
        <f t="shared" si="6"/>
        <v>0.15231475115738444</v>
      </c>
      <c r="I21" s="320">
        <f t="shared" si="6"/>
        <v>0.14825879085578256</v>
      </c>
      <c r="J21" s="320">
        <f t="shared" si="6"/>
        <v>0.13812034714863794</v>
      </c>
      <c r="K21" s="320">
        <f t="shared" si="6"/>
        <v>0.13432814661626549</v>
      </c>
      <c r="L21" s="320">
        <f t="shared" si="6"/>
        <v>0.13099984121058339</v>
      </c>
      <c r="M21" s="922">
        <f t="shared" si="4"/>
        <v>0.12674084265436344</v>
      </c>
      <c r="N21" s="769">
        <f t="shared" si="4"/>
        <v>0.12266209614313496</v>
      </c>
    </row>
    <row r="22" spans="2:17" s="9" customFormat="1" ht="20.25" customHeight="1" x14ac:dyDescent="0.25">
      <c r="B22" s="311" t="s">
        <v>63</v>
      </c>
      <c r="C22" s="298">
        <f t="shared" si="2"/>
        <v>0.18348603387725565</v>
      </c>
      <c r="D22" s="298">
        <f t="shared" ref="D22:L22" si="7">+D13/D$16</f>
        <v>0.17623480412592576</v>
      </c>
      <c r="E22" s="314">
        <f t="shared" si="7"/>
        <v>0.1736169140175369</v>
      </c>
      <c r="F22" s="298">
        <f t="shared" si="7"/>
        <v>0.16807785488476676</v>
      </c>
      <c r="G22" s="298">
        <f t="shared" si="7"/>
        <v>0.17272556841052988</v>
      </c>
      <c r="H22" s="314">
        <f t="shared" si="7"/>
        <v>0.16719646731307736</v>
      </c>
      <c r="I22" s="314">
        <f t="shared" si="7"/>
        <v>0.16448554704831514</v>
      </c>
      <c r="J22" s="314">
        <f t="shared" si="7"/>
        <v>0.15219365337433233</v>
      </c>
      <c r="K22" s="314">
        <f t="shared" si="7"/>
        <v>0.14847271805976281</v>
      </c>
      <c r="L22" s="314">
        <f t="shared" si="7"/>
        <v>0.14749315401310811</v>
      </c>
      <c r="M22" s="923">
        <f t="shared" si="4"/>
        <v>0.14572756372347898</v>
      </c>
      <c r="N22" s="315">
        <f t="shared" si="4"/>
        <v>0.14422276140996765</v>
      </c>
    </row>
    <row r="23" spans="2:17" s="9" customFormat="1" ht="20.25" customHeight="1" x14ac:dyDescent="0.25">
      <c r="B23" s="311" t="s">
        <v>64</v>
      </c>
      <c r="C23" s="298">
        <f t="shared" si="2"/>
        <v>5.0932295479940118E-2</v>
      </c>
      <c r="D23" s="298">
        <f t="shared" ref="D23:L23" si="8">+D14/D$16</f>
        <v>4.7362499872047228E-2</v>
      </c>
      <c r="E23" s="314">
        <f t="shared" si="8"/>
        <v>4.7756156701471174E-2</v>
      </c>
      <c r="F23" s="298">
        <f t="shared" si="8"/>
        <v>4.3257891704104455E-2</v>
      </c>
      <c r="G23" s="298">
        <f t="shared" si="8"/>
        <v>4.4858182911848121E-2</v>
      </c>
      <c r="H23" s="314">
        <f t="shared" si="8"/>
        <v>4.4749737253367373E-2</v>
      </c>
      <c r="I23" s="314">
        <f t="shared" si="8"/>
        <v>4.4952576667482085E-2</v>
      </c>
      <c r="J23" s="314">
        <f t="shared" si="8"/>
        <v>4.3322480390572196E-2</v>
      </c>
      <c r="K23" s="314">
        <f t="shared" si="8"/>
        <v>4.2195355506445931E-2</v>
      </c>
      <c r="L23" s="314">
        <f t="shared" si="8"/>
        <v>4.3269335931107759E-2</v>
      </c>
      <c r="M23" s="923">
        <f t="shared" si="4"/>
        <v>4.3537717757361809E-2</v>
      </c>
      <c r="N23" s="315">
        <f t="shared" si="4"/>
        <v>4.1584728652533244E-2</v>
      </c>
    </row>
    <row r="24" spans="2:17" s="9" customFormat="1" ht="20.25" customHeight="1" x14ac:dyDescent="0.25">
      <c r="B24" s="312" t="s">
        <v>200</v>
      </c>
      <c r="C24" s="297">
        <f t="shared" si="2"/>
        <v>0.23441832935719575</v>
      </c>
      <c r="D24" s="297">
        <f t="shared" ref="D24:L24" si="9">+D15/D$16</f>
        <v>0.22359730399797298</v>
      </c>
      <c r="E24" s="320">
        <f t="shared" si="9"/>
        <v>0.22137307071900805</v>
      </c>
      <c r="F24" s="297">
        <f t="shared" si="9"/>
        <v>0.21133574658887125</v>
      </c>
      <c r="G24" s="297">
        <f t="shared" si="9"/>
        <v>0.21758375132237801</v>
      </c>
      <c r="H24" s="320">
        <f t="shared" si="9"/>
        <v>0.21194620456644472</v>
      </c>
      <c r="I24" s="320">
        <f t="shared" si="9"/>
        <v>0.2094381237157972</v>
      </c>
      <c r="J24" s="320">
        <f t="shared" si="9"/>
        <v>0.19551613376490451</v>
      </c>
      <c r="K24" s="320">
        <f t="shared" si="9"/>
        <v>0.19066807356620874</v>
      </c>
      <c r="L24" s="320">
        <f t="shared" si="9"/>
        <v>0.19076248994421588</v>
      </c>
      <c r="M24" s="922">
        <f t="shared" si="4"/>
        <v>0.18926528148084079</v>
      </c>
      <c r="N24" s="769">
        <f t="shared" si="4"/>
        <v>0.18580749006250086</v>
      </c>
    </row>
    <row r="25" spans="2:17" s="9" customFormat="1" ht="20.25" customHeight="1" x14ac:dyDescent="0.25">
      <c r="B25" s="316" t="s">
        <v>199</v>
      </c>
      <c r="C25" s="317">
        <f t="shared" si="2"/>
        <v>1</v>
      </c>
      <c r="D25" s="317">
        <f t="shared" ref="D25:L25" si="10">+D16/D$16</f>
        <v>1</v>
      </c>
      <c r="E25" s="318">
        <f t="shared" si="10"/>
        <v>1</v>
      </c>
      <c r="F25" s="317">
        <f t="shared" si="10"/>
        <v>1</v>
      </c>
      <c r="G25" s="317">
        <f t="shared" si="10"/>
        <v>1</v>
      </c>
      <c r="H25" s="318">
        <f t="shared" si="10"/>
        <v>1</v>
      </c>
      <c r="I25" s="318">
        <f t="shared" si="10"/>
        <v>1</v>
      </c>
      <c r="J25" s="318">
        <f t="shared" si="10"/>
        <v>1</v>
      </c>
      <c r="K25" s="318">
        <f t="shared" si="10"/>
        <v>1</v>
      </c>
      <c r="L25" s="318">
        <f t="shared" si="10"/>
        <v>1</v>
      </c>
      <c r="M25" s="924">
        <f t="shared" si="4"/>
        <v>1</v>
      </c>
      <c r="N25" s="319">
        <f t="shared" si="4"/>
        <v>1</v>
      </c>
    </row>
    <row r="26" spans="2:17" s="9" customFormat="1" ht="10.5" customHeight="1" x14ac:dyDescent="0.25">
      <c r="B26" s="299"/>
      <c r="C26" s="300"/>
      <c r="D26" s="300"/>
      <c r="E26" s="301"/>
      <c r="F26" s="301"/>
      <c r="G26" s="301"/>
      <c r="H26" s="301"/>
      <c r="I26" s="301"/>
      <c r="J26" s="301"/>
      <c r="K26" s="301"/>
      <c r="L26" s="864"/>
      <c r="M26" s="301"/>
      <c r="N26" s="301"/>
    </row>
    <row r="27" spans="2:17" s="11" customFormat="1" ht="8.25" customHeight="1" x14ac:dyDescent="0.25">
      <c r="B27" s="265"/>
      <c r="C27" s="265"/>
      <c r="D27" s="265"/>
      <c r="E27" s="265"/>
      <c r="F27" s="265"/>
      <c r="G27" s="265"/>
      <c r="H27" s="265"/>
      <c r="I27" s="265"/>
      <c r="J27" s="265"/>
      <c r="K27" s="265"/>
      <c r="L27" s="265"/>
      <c r="M27" s="265"/>
      <c r="N27" s="265"/>
    </row>
    <row r="28" spans="2:17" s="6" customFormat="1" ht="28.5" customHeight="1" x14ac:dyDescent="0.25">
      <c r="B28" s="304" t="s">
        <v>124</v>
      </c>
      <c r="C28" s="305">
        <v>45016</v>
      </c>
      <c r="D28" s="305">
        <v>45107</v>
      </c>
      <c r="E28" s="305">
        <v>45199</v>
      </c>
      <c r="F28" s="305">
        <v>45291</v>
      </c>
      <c r="G28" s="305">
        <v>45382</v>
      </c>
      <c r="H28" s="305">
        <v>45473</v>
      </c>
      <c r="I28" s="305">
        <v>45565</v>
      </c>
      <c r="J28" s="305">
        <v>45657</v>
      </c>
      <c r="K28" s="305">
        <v>45747</v>
      </c>
      <c r="L28" s="305">
        <v>45838</v>
      </c>
      <c r="M28" s="321">
        <v>45930</v>
      </c>
      <c r="N28" s="306">
        <v>46022</v>
      </c>
    </row>
    <row r="29" spans="2:17" s="11" customFormat="1" ht="20.25" customHeight="1" x14ac:dyDescent="0.25">
      <c r="B29" s="312" t="s">
        <v>344</v>
      </c>
      <c r="C29" s="147">
        <f t="shared" ref="C29:L29" si="11">SUM(C30:C33)</f>
        <v>10920.926487999999</v>
      </c>
      <c r="D29" s="147">
        <f t="shared" si="11"/>
        <v>10916.133904999999</v>
      </c>
      <c r="E29" s="147">
        <f t="shared" si="11"/>
        <v>10709.794972999998</v>
      </c>
      <c r="F29" s="148">
        <f t="shared" si="11"/>
        <v>11659.12991</v>
      </c>
      <c r="G29" s="148">
        <f t="shared" si="11"/>
        <v>12419.752307999999</v>
      </c>
      <c r="H29" s="147">
        <f t="shared" si="11"/>
        <v>13482.556455</v>
      </c>
      <c r="I29" s="147">
        <f t="shared" si="11"/>
        <v>14171.701354000001</v>
      </c>
      <c r="J29" s="147">
        <f t="shared" si="11"/>
        <v>14967.781161000003</v>
      </c>
      <c r="K29" s="147">
        <f t="shared" si="11"/>
        <v>14958.686126000001</v>
      </c>
      <c r="L29" s="147">
        <f t="shared" si="11"/>
        <v>15262.378572000001</v>
      </c>
      <c r="M29" s="902">
        <f t="shared" ref="M29" si="12">SUM(M30:M33)</f>
        <v>15260.230014999997</v>
      </c>
      <c r="N29" s="204">
        <f>SUM(N30:N33)</f>
        <v>15288.022290000001</v>
      </c>
      <c r="Q29" s="757"/>
    </row>
    <row r="30" spans="2:17" s="11" customFormat="1" ht="20.25" customHeight="1" x14ac:dyDescent="0.25">
      <c r="B30" s="311" t="s">
        <v>345</v>
      </c>
      <c r="C30" s="145">
        <v>7472.9160169999996</v>
      </c>
      <c r="D30" s="145">
        <v>7456.6447889999999</v>
      </c>
      <c r="E30" s="145">
        <v>7166.9165309999998</v>
      </c>
      <c r="F30" s="144">
        <v>7708.5475210000004</v>
      </c>
      <c r="G30" s="144">
        <v>8468.586695</v>
      </c>
      <c r="H30" s="145">
        <v>8713.6605920000002</v>
      </c>
      <c r="I30" s="145">
        <v>8999.4559509999999</v>
      </c>
      <c r="J30" s="145">
        <v>9650.6406220000008</v>
      </c>
      <c r="K30" s="145">
        <v>9255.3425189999998</v>
      </c>
      <c r="L30" s="145">
        <v>9437.9522039999993</v>
      </c>
      <c r="M30" s="900">
        <v>9417.0310609999997</v>
      </c>
      <c r="N30" s="202">
        <v>9383.4122079999997</v>
      </c>
      <c r="P30" s="648"/>
      <c r="Q30" s="822"/>
    </row>
    <row r="31" spans="2:17" s="11" customFormat="1" ht="20.25" customHeight="1" x14ac:dyDescent="0.25">
      <c r="B31" s="311" t="s">
        <v>391</v>
      </c>
      <c r="C31" s="145">
        <v>3.4613149999999999</v>
      </c>
      <c r="D31" s="145">
        <v>3.9754969999999998</v>
      </c>
      <c r="E31" s="145">
        <v>1.965157</v>
      </c>
      <c r="F31" s="144">
        <v>3.9390049999999999</v>
      </c>
      <c r="G31" s="144">
        <v>5.4494109999999996</v>
      </c>
      <c r="H31" s="145">
        <v>6.9140249999999996</v>
      </c>
      <c r="I31" s="145">
        <v>6.9128869999999996</v>
      </c>
      <c r="J31" s="145">
        <v>3.9648880000000002</v>
      </c>
      <c r="K31" s="145">
        <v>1.48336</v>
      </c>
      <c r="L31" s="145">
        <v>1.040853</v>
      </c>
      <c r="M31" s="900">
        <v>1.492475</v>
      </c>
      <c r="N31" s="202">
        <v>0</v>
      </c>
      <c r="Q31" s="757"/>
    </row>
    <row r="32" spans="2:17" s="11" customFormat="1" ht="20.25" customHeight="1" x14ac:dyDescent="0.25">
      <c r="B32" s="311" t="s">
        <v>346</v>
      </c>
      <c r="C32" s="145">
        <v>2469.6538439999999</v>
      </c>
      <c r="D32" s="145">
        <v>2470.0916229999998</v>
      </c>
      <c r="E32" s="145">
        <v>2425.052745</v>
      </c>
      <c r="F32" s="144">
        <v>2498.6935109999999</v>
      </c>
      <c r="G32" s="144">
        <v>2507.5331809999998</v>
      </c>
      <c r="H32" s="145">
        <v>2499.765598</v>
      </c>
      <c r="I32" s="145">
        <v>2878.7278700000002</v>
      </c>
      <c r="J32" s="145">
        <v>3251.172059</v>
      </c>
      <c r="K32" s="145">
        <v>3521.6424149999998</v>
      </c>
      <c r="L32" s="145">
        <v>4451.9524940000001</v>
      </c>
      <c r="M32" s="900">
        <v>4637.5002180000001</v>
      </c>
      <c r="N32" s="202">
        <v>4875.898768</v>
      </c>
      <c r="P32" s="648"/>
      <c r="Q32" s="822"/>
    </row>
    <row r="33" spans="2:17" s="11" customFormat="1" ht="20.25" customHeight="1" x14ac:dyDescent="0.25">
      <c r="B33" s="311" t="s">
        <v>347</v>
      </c>
      <c r="C33" s="145">
        <v>974.89531199999999</v>
      </c>
      <c r="D33" s="145">
        <v>985.42199600000004</v>
      </c>
      <c r="E33" s="145">
        <v>1115.8605399999999</v>
      </c>
      <c r="F33" s="144">
        <v>1447.949873</v>
      </c>
      <c r="G33" s="144">
        <v>1438.1830210000001</v>
      </c>
      <c r="H33" s="145">
        <v>2262.2162400000002</v>
      </c>
      <c r="I33" s="145">
        <v>2286.6046459999998</v>
      </c>
      <c r="J33" s="145">
        <v>2062.003592</v>
      </c>
      <c r="K33" s="145">
        <v>2180.2178319999998</v>
      </c>
      <c r="L33" s="145">
        <v>1371.4330210000001</v>
      </c>
      <c r="M33" s="900">
        <v>1204.206261</v>
      </c>
      <c r="N33" s="202">
        <v>1028.7113139999999</v>
      </c>
      <c r="P33" s="648"/>
      <c r="Q33" s="757"/>
    </row>
    <row r="34" spans="2:17" s="11" customFormat="1" ht="20.25" customHeight="1" x14ac:dyDescent="0.25">
      <c r="B34" s="312" t="s">
        <v>348</v>
      </c>
      <c r="C34" s="147">
        <f t="shared" ref="C34:L34" si="13">SUM(C35:C39)</f>
        <v>1120.0077610000001</v>
      </c>
      <c r="D34" s="147">
        <f t="shared" si="13"/>
        <v>1275.7065230000001</v>
      </c>
      <c r="E34" s="147">
        <f t="shared" si="13"/>
        <v>1571.234019</v>
      </c>
      <c r="F34" s="148">
        <f t="shared" si="13"/>
        <v>1383.1613770000001</v>
      </c>
      <c r="G34" s="148">
        <f t="shared" si="13"/>
        <v>1154.638927</v>
      </c>
      <c r="H34" s="147">
        <f t="shared" si="13"/>
        <v>750.34698700000001</v>
      </c>
      <c r="I34" s="147">
        <f t="shared" si="13"/>
        <v>650.29877800000008</v>
      </c>
      <c r="J34" s="147">
        <f t="shared" si="13"/>
        <v>632.78667899999994</v>
      </c>
      <c r="K34" s="147">
        <f t="shared" si="13"/>
        <v>1264.747658</v>
      </c>
      <c r="L34" s="147">
        <f t="shared" si="13"/>
        <v>1410.833073</v>
      </c>
      <c r="M34" s="902">
        <f t="shared" ref="M34:N34" si="14">SUM(M35:M39)</f>
        <v>1399.3658909999999</v>
      </c>
      <c r="N34" s="204">
        <f t="shared" si="14"/>
        <v>1540.5603899999999</v>
      </c>
      <c r="Q34" s="757"/>
    </row>
    <row r="35" spans="2:17" s="11" customFormat="1" ht="20.25" customHeight="1" x14ac:dyDescent="0.25">
      <c r="B35" s="311" t="s">
        <v>349</v>
      </c>
      <c r="C35" s="145">
        <v>386.57216099999999</v>
      </c>
      <c r="D35" s="145">
        <v>486.649113</v>
      </c>
      <c r="E35" s="145">
        <v>571.39705200000003</v>
      </c>
      <c r="F35" s="144">
        <v>630.31419100000005</v>
      </c>
      <c r="G35" s="144">
        <v>617.683312</v>
      </c>
      <c r="H35" s="145">
        <v>513.66477599999996</v>
      </c>
      <c r="I35" s="145">
        <v>536.62975200000005</v>
      </c>
      <c r="J35" s="145">
        <v>536.11936100000003</v>
      </c>
      <c r="K35" s="145">
        <v>869.11538499999995</v>
      </c>
      <c r="L35" s="145">
        <v>849.65868</v>
      </c>
      <c r="M35" s="900">
        <v>839.15012400000001</v>
      </c>
      <c r="N35" s="202">
        <v>785.410527</v>
      </c>
      <c r="Q35" s="757"/>
    </row>
    <row r="36" spans="2:17" s="11" customFormat="1" ht="20.25" customHeight="1" x14ac:dyDescent="0.25">
      <c r="B36" s="311" t="s">
        <v>392</v>
      </c>
      <c r="C36" s="145">
        <v>627.82879800000001</v>
      </c>
      <c r="D36" s="145">
        <v>732.15990199999999</v>
      </c>
      <c r="E36" s="145">
        <v>945.83629399999995</v>
      </c>
      <c r="F36" s="144">
        <v>704.23255600000005</v>
      </c>
      <c r="G36" s="144">
        <v>482.61389100000002</v>
      </c>
      <c r="H36" s="145">
        <v>151.759398</v>
      </c>
      <c r="I36" s="145">
        <v>0</v>
      </c>
      <c r="J36" s="145">
        <v>34.534500000000001</v>
      </c>
      <c r="K36" s="145">
        <v>34.737499999999997</v>
      </c>
      <c r="L36" s="145">
        <v>0</v>
      </c>
      <c r="M36" s="900">
        <v>0</v>
      </c>
      <c r="N36" s="202">
        <v>0</v>
      </c>
      <c r="Q36" s="757"/>
    </row>
    <row r="37" spans="2:17" s="11" customFormat="1" ht="20.25" customHeight="1" x14ac:dyDescent="0.25">
      <c r="B37" s="311" t="s">
        <v>350</v>
      </c>
      <c r="C37" s="145">
        <v>0.87309199999999998</v>
      </c>
      <c r="D37" s="145">
        <v>0.90361400000000003</v>
      </c>
      <c r="E37" s="145">
        <v>0</v>
      </c>
      <c r="F37" s="144">
        <v>0</v>
      </c>
      <c r="G37" s="144">
        <v>0</v>
      </c>
      <c r="H37" s="145">
        <v>29.6172</v>
      </c>
      <c r="I37" s="145">
        <v>62.041116000000002</v>
      </c>
      <c r="J37" s="145">
        <v>17.238447000000001</v>
      </c>
      <c r="K37" s="145">
        <v>167.438694</v>
      </c>
      <c r="L37" s="145">
        <v>167.01119199999999</v>
      </c>
      <c r="M37" s="900">
        <v>164.16920200000001</v>
      </c>
      <c r="N37" s="202">
        <v>162.42068</v>
      </c>
      <c r="Q37" s="757"/>
    </row>
    <row r="38" spans="2:17" s="11" customFormat="1" ht="20.25" customHeight="1" x14ac:dyDescent="0.25">
      <c r="B38" s="311" t="s">
        <v>351</v>
      </c>
      <c r="C38" s="145">
        <v>0</v>
      </c>
      <c r="D38" s="145">
        <v>0</v>
      </c>
      <c r="E38" s="145">
        <v>0</v>
      </c>
      <c r="F38" s="144">
        <v>0</v>
      </c>
      <c r="G38" s="144">
        <v>0</v>
      </c>
      <c r="H38" s="145">
        <v>0</v>
      </c>
      <c r="I38" s="145">
        <v>0</v>
      </c>
      <c r="J38" s="145">
        <v>0</v>
      </c>
      <c r="K38" s="145">
        <v>147.761582</v>
      </c>
      <c r="L38" s="145">
        <v>350.85488400000003</v>
      </c>
      <c r="M38" s="900">
        <v>353.07186999999999</v>
      </c>
      <c r="N38" s="202">
        <v>552.00210500000003</v>
      </c>
      <c r="Q38" s="757"/>
    </row>
    <row r="39" spans="2:17" s="11" customFormat="1" ht="20.25" customHeight="1" x14ac:dyDescent="0.25">
      <c r="B39" s="311" t="s">
        <v>352</v>
      </c>
      <c r="C39" s="145">
        <v>104.73371</v>
      </c>
      <c r="D39" s="145">
        <v>55.993893999999997</v>
      </c>
      <c r="E39" s="145">
        <v>54.000672999999999</v>
      </c>
      <c r="F39" s="144">
        <v>48.614629999999998</v>
      </c>
      <c r="G39" s="144">
        <v>54.341723999999999</v>
      </c>
      <c r="H39" s="145">
        <v>55.305613000000001</v>
      </c>
      <c r="I39" s="145">
        <v>51.62791</v>
      </c>
      <c r="J39" s="145">
        <v>44.894371</v>
      </c>
      <c r="K39" s="145">
        <v>45.694496999999998</v>
      </c>
      <c r="L39" s="145">
        <v>43.308317000000002</v>
      </c>
      <c r="M39" s="900">
        <v>42.974694999999997</v>
      </c>
      <c r="N39" s="202">
        <v>40.727077999999999</v>
      </c>
      <c r="Q39" s="757"/>
    </row>
    <row r="40" spans="2:17" s="11" customFormat="1" ht="20.25" customHeight="1" x14ac:dyDescent="0.25">
      <c r="B40" s="312" t="s">
        <v>353</v>
      </c>
      <c r="C40" s="147">
        <f t="shared" ref="C40:L40" si="15">SUM(C41:C45)</f>
        <v>1013.4453229999999</v>
      </c>
      <c r="D40" s="147">
        <f t="shared" si="15"/>
        <v>1535.3613799999998</v>
      </c>
      <c r="E40" s="147">
        <f t="shared" si="15"/>
        <v>1287.7845659999998</v>
      </c>
      <c r="F40" s="148">
        <f t="shared" si="15"/>
        <v>843.39662199999998</v>
      </c>
      <c r="G40" s="148">
        <f t="shared" si="15"/>
        <v>1204.622351</v>
      </c>
      <c r="H40" s="147">
        <f t="shared" si="15"/>
        <v>1202.830653</v>
      </c>
      <c r="I40" s="147">
        <f t="shared" si="15"/>
        <v>1224.4110900000001</v>
      </c>
      <c r="J40" s="147">
        <f t="shared" si="15"/>
        <v>1038.9205649999999</v>
      </c>
      <c r="K40" s="147">
        <f t="shared" si="15"/>
        <v>1246.9653840000001</v>
      </c>
      <c r="L40" s="147">
        <f t="shared" si="15"/>
        <v>1208.7337070000001</v>
      </c>
      <c r="M40" s="902">
        <f t="shared" ref="M40:N40" si="16">SUM(M41:M45)</f>
        <v>1412.535948</v>
      </c>
      <c r="N40" s="204">
        <f t="shared" si="16"/>
        <v>1744.1589489999999</v>
      </c>
      <c r="Q40" s="757"/>
    </row>
    <row r="41" spans="2:17" s="11" customFormat="1" ht="20.25" customHeight="1" x14ac:dyDescent="0.25">
      <c r="B41" s="311" t="s">
        <v>354</v>
      </c>
      <c r="C41" s="145">
        <v>100.578864</v>
      </c>
      <c r="D41" s="145">
        <v>110.675015</v>
      </c>
      <c r="E41" s="145">
        <v>291.08283499999999</v>
      </c>
      <c r="F41" s="144">
        <v>285.99497500000001</v>
      </c>
      <c r="G41" s="144">
        <v>393.01311600000002</v>
      </c>
      <c r="H41" s="145">
        <v>387.055542</v>
      </c>
      <c r="I41" s="145">
        <v>445.18531000000002</v>
      </c>
      <c r="J41" s="145">
        <v>295.20165100000003</v>
      </c>
      <c r="K41" s="145">
        <v>432.62764399999998</v>
      </c>
      <c r="L41" s="145">
        <v>349.96070200000003</v>
      </c>
      <c r="M41" s="900">
        <v>459.910707</v>
      </c>
      <c r="N41" s="202">
        <v>509.64039200000002</v>
      </c>
      <c r="Q41" s="757"/>
    </row>
    <row r="42" spans="2:17" s="11" customFormat="1" ht="20.25" customHeight="1" x14ac:dyDescent="0.25">
      <c r="B42" s="311" t="s">
        <v>393</v>
      </c>
      <c r="C42" s="145">
        <v>75.046774999999997</v>
      </c>
      <c r="D42" s="145">
        <v>90.355296999999993</v>
      </c>
      <c r="E42" s="145">
        <v>92.826797999999997</v>
      </c>
      <c r="F42" s="144">
        <v>189.05755500000001</v>
      </c>
      <c r="G42" s="144">
        <v>176.29110399999999</v>
      </c>
      <c r="H42" s="145">
        <v>174.85132200000001</v>
      </c>
      <c r="I42" s="145">
        <v>132.27575300000001</v>
      </c>
      <c r="J42" s="145">
        <v>153.61202499999999</v>
      </c>
      <c r="K42" s="145">
        <v>222.56300300000001</v>
      </c>
      <c r="L42" s="145">
        <v>176.18103400000001</v>
      </c>
      <c r="M42" s="900">
        <v>270.83475199999998</v>
      </c>
      <c r="N42" s="202">
        <v>360.73417599999999</v>
      </c>
      <c r="Q42" s="757"/>
    </row>
    <row r="43" spans="2:17" s="11" customFormat="1" ht="20.25" customHeight="1" x14ac:dyDescent="0.25">
      <c r="B43" s="311" t="s">
        <v>355</v>
      </c>
      <c r="C43" s="145">
        <v>655.20956699999999</v>
      </c>
      <c r="D43" s="145">
        <v>1108.936017</v>
      </c>
      <c r="E43" s="145">
        <v>644.08695999999998</v>
      </c>
      <c r="F43" s="144">
        <v>97.489563000000004</v>
      </c>
      <c r="G43" s="144">
        <v>310.96522100000004</v>
      </c>
      <c r="H43" s="145">
        <v>336.24692100000004</v>
      </c>
      <c r="I43" s="145">
        <v>299.17784900000004</v>
      </c>
      <c r="J43" s="145">
        <v>248.36375600000002</v>
      </c>
      <c r="K43" s="145">
        <v>256.04882499999997</v>
      </c>
      <c r="L43" s="145">
        <v>303.62015300000002</v>
      </c>
      <c r="M43" s="900">
        <v>285.44939099999999</v>
      </c>
      <c r="N43" s="202">
        <v>390.40515199999999</v>
      </c>
      <c r="Q43" s="757"/>
    </row>
    <row r="44" spans="2:17" s="11" customFormat="1" ht="20.25" customHeight="1" x14ac:dyDescent="0.25">
      <c r="B44" s="311" t="s">
        <v>356</v>
      </c>
      <c r="C44" s="145">
        <v>12.447543000000001</v>
      </c>
      <c r="D44" s="145">
        <v>34.237417000000001</v>
      </c>
      <c r="E44" s="145">
        <v>76.994902999999994</v>
      </c>
      <c r="F44" s="144">
        <v>73.962278999999995</v>
      </c>
      <c r="G44" s="144">
        <v>82.248053999999996</v>
      </c>
      <c r="H44" s="145">
        <v>66.852252000000007</v>
      </c>
      <c r="I44" s="145">
        <v>108.992594</v>
      </c>
      <c r="J44" s="145">
        <v>103.520844</v>
      </c>
      <c r="K44" s="145">
        <v>101.114265</v>
      </c>
      <c r="L44" s="145">
        <v>111.408135</v>
      </c>
      <c r="M44" s="900">
        <v>99.916249000000008</v>
      </c>
      <c r="N44" s="202">
        <v>185.24074400000001</v>
      </c>
      <c r="Q44" s="757"/>
    </row>
    <row r="45" spans="2:17" s="11" customFormat="1" ht="20.25" customHeight="1" x14ac:dyDescent="0.25">
      <c r="B45" s="311" t="s">
        <v>357</v>
      </c>
      <c r="C45" s="145">
        <v>170.16257400000001</v>
      </c>
      <c r="D45" s="145">
        <v>191.157634</v>
      </c>
      <c r="E45" s="145">
        <v>182.79307</v>
      </c>
      <c r="F45" s="144">
        <v>196.89224999999999</v>
      </c>
      <c r="G45" s="144">
        <v>242.10485600000001</v>
      </c>
      <c r="H45" s="145">
        <v>237.82461599999999</v>
      </c>
      <c r="I45" s="145">
        <v>238.779584</v>
      </c>
      <c r="J45" s="145">
        <v>238.22228899999999</v>
      </c>
      <c r="K45" s="145">
        <v>234.611647</v>
      </c>
      <c r="L45" s="145">
        <v>267.56368300000003</v>
      </c>
      <c r="M45" s="900">
        <v>296.42484899999999</v>
      </c>
      <c r="N45" s="202">
        <v>298.138485</v>
      </c>
      <c r="Q45" s="757"/>
    </row>
    <row r="46" spans="2:17" s="11" customFormat="1" ht="20.25" customHeight="1" x14ac:dyDescent="0.25">
      <c r="B46" s="312" t="s">
        <v>358</v>
      </c>
      <c r="C46" s="147">
        <v>2070.4380000000001</v>
      </c>
      <c r="D46" s="147">
        <v>2278.8969999999999</v>
      </c>
      <c r="E46" s="147">
        <v>2479.9630000000002</v>
      </c>
      <c r="F46" s="148">
        <v>190.95599999999999</v>
      </c>
      <c r="G46" s="148">
        <v>185.03299999999999</v>
      </c>
      <c r="H46" s="147">
        <v>143.70500000000001</v>
      </c>
      <c r="I46" s="147">
        <v>176.60726251</v>
      </c>
      <c r="J46" s="147">
        <v>197.047</v>
      </c>
      <c r="K46" s="147">
        <v>166.035</v>
      </c>
      <c r="L46" s="147">
        <v>201.45599999999999</v>
      </c>
      <c r="M46" s="902">
        <v>181.214</v>
      </c>
      <c r="N46" s="204">
        <v>171.34100000000001</v>
      </c>
      <c r="Q46" s="757"/>
    </row>
    <row r="47" spans="2:17" s="11" customFormat="1" ht="20.25" customHeight="1" x14ac:dyDescent="0.25">
      <c r="B47" s="316" t="s">
        <v>359</v>
      </c>
      <c r="C47" s="172">
        <f t="shared" ref="C47:L47" si="17">C29+C34+C40+C46</f>
        <v>15124.817572</v>
      </c>
      <c r="D47" s="172">
        <f t="shared" si="17"/>
        <v>16006.098807999999</v>
      </c>
      <c r="E47" s="172">
        <f t="shared" si="17"/>
        <v>16048.776557999998</v>
      </c>
      <c r="F47" s="178">
        <f t="shared" si="17"/>
        <v>14076.643909</v>
      </c>
      <c r="G47" s="178">
        <f t="shared" si="17"/>
        <v>14964.046585999999</v>
      </c>
      <c r="H47" s="177">
        <f t="shared" si="17"/>
        <v>15579.439095</v>
      </c>
      <c r="I47" s="177">
        <f t="shared" si="17"/>
        <v>16223.018484510001</v>
      </c>
      <c r="J47" s="177">
        <f t="shared" si="17"/>
        <v>16836.535405000002</v>
      </c>
      <c r="K47" s="177">
        <f t="shared" si="17"/>
        <v>17636.434168</v>
      </c>
      <c r="L47" s="177">
        <f t="shared" si="17"/>
        <v>18083.401352000001</v>
      </c>
      <c r="M47" s="908">
        <f t="shared" ref="M47" si="18">M29+M34+M40+M46</f>
        <v>18253.345853999999</v>
      </c>
      <c r="N47" s="210">
        <f>N29+N34+N40+N46</f>
        <v>18744.082629</v>
      </c>
      <c r="P47" s="648"/>
      <c r="Q47" s="757"/>
    </row>
    <row r="48" spans="2:17" s="11" customFormat="1" ht="9.75" customHeight="1" x14ac:dyDescent="0.25">
      <c r="B48" s="299"/>
      <c r="C48" s="295"/>
      <c r="D48" s="295"/>
      <c r="E48" s="295"/>
      <c r="F48" s="295"/>
      <c r="G48" s="295"/>
      <c r="H48" s="295"/>
      <c r="I48" s="295"/>
      <c r="J48" s="295"/>
      <c r="K48" s="295"/>
      <c r="L48" s="295"/>
      <c r="M48" s="295"/>
      <c r="N48" s="295"/>
    </row>
    <row r="49" spans="2:18" s="11" customFormat="1" ht="11.4" customHeight="1" x14ac:dyDescent="0.25">
      <c r="B49" s="299"/>
      <c r="C49" s="295"/>
      <c r="D49" s="295"/>
      <c r="E49" s="295"/>
      <c r="F49" s="295"/>
      <c r="G49" s="295"/>
      <c r="H49" s="295"/>
      <c r="I49" s="295"/>
      <c r="J49" s="295"/>
      <c r="K49" s="295"/>
      <c r="L49" s="295"/>
      <c r="M49" s="295"/>
      <c r="N49" s="295"/>
    </row>
    <row r="50" spans="2:18" s="11" customFormat="1" ht="28.2" customHeight="1" x14ac:dyDescent="0.25">
      <c r="B50" s="304" t="s">
        <v>536</v>
      </c>
      <c r="C50" s="305">
        <v>45016</v>
      </c>
      <c r="D50" s="305">
        <v>45107</v>
      </c>
      <c r="E50" s="305">
        <v>45199</v>
      </c>
      <c r="F50" s="305">
        <v>45291</v>
      </c>
      <c r="G50" s="305">
        <v>45382</v>
      </c>
      <c r="H50" s="305">
        <v>45473</v>
      </c>
      <c r="I50" s="305">
        <v>45565</v>
      </c>
      <c r="J50" s="305">
        <v>45657</v>
      </c>
      <c r="K50" s="305">
        <v>45747</v>
      </c>
      <c r="L50" s="305">
        <v>45838</v>
      </c>
      <c r="M50" s="321">
        <v>45930</v>
      </c>
      <c r="N50" s="306">
        <v>46022</v>
      </c>
    </row>
    <row r="51" spans="2:18" s="11" customFormat="1" ht="19.95" customHeight="1" x14ac:dyDescent="0.25">
      <c r="B51" s="143" t="s">
        <v>379</v>
      </c>
      <c r="C51" s="144">
        <v>1521.57</v>
      </c>
      <c r="D51" s="144">
        <v>1753.405</v>
      </c>
      <c r="E51" s="145">
        <v>1754.3810000000001</v>
      </c>
      <c r="F51" s="144">
        <v>1756.961</v>
      </c>
      <c r="G51" s="144">
        <v>1798.298</v>
      </c>
      <c r="H51" s="145">
        <v>1801.8679999999999</v>
      </c>
      <c r="I51" s="145">
        <v>1811.91643264</v>
      </c>
      <c r="J51" s="145">
        <v>1790.49</v>
      </c>
      <c r="K51" s="145">
        <v>1815.203</v>
      </c>
      <c r="L51" s="145">
        <v>1827.6010000000001</v>
      </c>
      <c r="M51" s="900">
        <v>1772.58344074</v>
      </c>
      <c r="N51" s="202">
        <v>1853.876</v>
      </c>
      <c r="P51" s="648"/>
      <c r="Q51" s="648"/>
    </row>
    <row r="52" spans="2:18" s="11" customFormat="1" ht="19.95" customHeight="1" x14ac:dyDescent="0.25">
      <c r="B52" s="143" t="s">
        <v>380</v>
      </c>
      <c r="C52" s="144">
        <v>1262.5139999999999</v>
      </c>
      <c r="D52" s="144">
        <v>1195.6880000000001</v>
      </c>
      <c r="E52" s="145">
        <v>1202.365</v>
      </c>
      <c r="F52" s="144">
        <v>1167.2819999999999</v>
      </c>
      <c r="G52" s="144">
        <v>1175.7360000000001</v>
      </c>
      <c r="H52" s="145">
        <v>1171.664</v>
      </c>
      <c r="I52" s="145">
        <v>1167.81467823</v>
      </c>
      <c r="J52" s="145">
        <v>1010.684</v>
      </c>
      <c r="K52" s="145">
        <v>1008.126</v>
      </c>
      <c r="L52" s="145">
        <v>996.18700000000001</v>
      </c>
      <c r="M52" s="900">
        <v>991.4197829499999</v>
      </c>
      <c r="N52" s="202">
        <v>927.24800000000005</v>
      </c>
      <c r="P52" s="648"/>
      <c r="Q52" s="648"/>
    </row>
    <row r="53" spans="2:18" s="11" customFormat="1" ht="19.95" customHeight="1" x14ac:dyDescent="0.25">
      <c r="B53" s="143" t="s">
        <v>381</v>
      </c>
      <c r="C53" s="144">
        <v>522.47415680999995</v>
      </c>
      <c r="D53" s="144">
        <v>512.2404389400001</v>
      </c>
      <c r="E53" s="145">
        <v>480.66539519999992</v>
      </c>
      <c r="F53" s="144">
        <v>514.96894064000003</v>
      </c>
      <c r="G53" s="144">
        <v>524.21140799</v>
      </c>
      <c r="H53" s="145">
        <v>574.45337884000003</v>
      </c>
      <c r="I53" s="145">
        <v>531.5516630300001</v>
      </c>
      <c r="J53" s="145">
        <v>509.06876013999999</v>
      </c>
      <c r="K53" s="145">
        <v>495.53558586000003</v>
      </c>
      <c r="L53" s="145">
        <v>499.02</v>
      </c>
      <c r="M53" s="900">
        <v>553.68623705000005</v>
      </c>
      <c r="N53" s="202">
        <v>682.6443340699999</v>
      </c>
      <c r="P53" s="648"/>
      <c r="Q53" s="648"/>
    </row>
    <row r="54" spans="2:18" s="11" customFormat="1" ht="19.95" customHeight="1" x14ac:dyDescent="0.25">
      <c r="B54" s="146" t="s">
        <v>378</v>
      </c>
      <c r="C54" s="296">
        <f>SUM(C51:C53)</f>
        <v>3306.5581568099997</v>
      </c>
      <c r="D54" s="296">
        <f t="shared" ref="D54:L54" si="19">SUM(D51:D53)</f>
        <v>3461.3334389399997</v>
      </c>
      <c r="E54" s="296">
        <f t="shared" si="19"/>
        <v>3437.4113951999998</v>
      </c>
      <c r="F54" s="296">
        <f t="shared" si="19"/>
        <v>3439.2119406399997</v>
      </c>
      <c r="G54" s="296">
        <f t="shared" si="19"/>
        <v>3498.2454079899999</v>
      </c>
      <c r="H54" s="296">
        <f t="shared" si="19"/>
        <v>3547.9853788400001</v>
      </c>
      <c r="I54" s="296">
        <f t="shared" si="19"/>
        <v>3511.2827739000004</v>
      </c>
      <c r="J54" s="296">
        <f t="shared" si="19"/>
        <v>3310.24276014</v>
      </c>
      <c r="K54" s="296">
        <f t="shared" si="19"/>
        <v>3318.8645858599998</v>
      </c>
      <c r="L54" s="296">
        <f t="shared" si="19"/>
        <v>3322.808</v>
      </c>
      <c r="M54" s="921">
        <f>SUM(M51:M53)</f>
        <v>3317.68946074</v>
      </c>
      <c r="N54" s="307">
        <f>SUM(N51:N53)</f>
        <v>3463.7683340699996</v>
      </c>
      <c r="P54" s="648"/>
      <c r="Q54" s="648"/>
    </row>
    <row r="55" spans="2:18" s="11" customFormat="1" ht="19.95" customHeight="1" x14ac:dyDescent="0.25">
      <c r="B55" s="146"/>
      <c r="C55" s="296"/>
      <c r="D55" s="296"/>
      <c r="E55" s="296"/>
      <c r="F55" s="296"/>
      <c r="G55" s="296"/>
      <c r="H55" s="296"/>
      <c r="I55" s="296"/>
      <c r="J55" s="296"/>
      <c r="K55" s="296"/>
      <c r="L55" s="296"/>
      <c r="M55" s="949"/>
      <c r="N55" s="307"/>
      <c r="P55" s="648"/>
      <c r="Q55" s="648"/>
    </row>
    <row r="56" spans="2:18" s="11" customFormat="1" ht="19.95" customHeight="1" x14ac:dyDescent="0.25">
      <c r="B56" s="313" t="s">
        <v>21</v>
      </c>
      <c r="C56" s="296"/>
      <c r="D56" s="296"/>
      <c r="E56" s="296"/>
      <c r="F56" s="296"/>
      <c r="G56" s="296"/>
      <c r="H56" s="296"/>
      <c r="I56" s="296"/>
      <c r="J56" s="296"/>
      <c r="K56" s="296"/>
      <c r="L56" s="296"/>
      <c r="M56" s="949"/>
      <c r="N56" s="307"/>
      <c r="P56" s="648"/>
      <c r="Q56" s="648"/>
    </row>
    <row r="57" spans="2:18" s="11" customFormat="1" ht="19.95" customHeight="1" x14ac:dyDescent="0.25">
      <c r="B57" s="311" t="s">
        <v>600</v>
      </c>
      <c r="C57" s="226">
        <v>1893.5108049999999</v>
      </c>
      <c r="D57" s="226">
        <v>1883.804114</v>
      </c>
      <c r="E57" s="226">
        <v>1864.558843</v>
      </c>
      <c r="F57" s="226">
        <v>1862.75674</v>
      </c>
      <c r="G57" s="226">
        <v>1855.2694670000001</v>
      </c>
      <c r="H57" s="226">
        <v>1851.536554</v>
      </c>
      <c r="I57" s="226">
        <v>1823.0387129999999</v>
      </c>
      <c r="J57" s="226">
        <v>1519.882693</v>
      </c>
      <c r="K57" s="226">
        <v>1517.6545000000001</v>
      </c>
      <c r="L57" s="226">
        <v>1508.4611447100001</v>
      </c>
      <c r="M57" s="982">
        <v>1481.7815952799999</v>
      </c>
      <c r="N57" s="309">
        <v>1346.221</v>
      </c>
      <c r="P57" s="648"/>
      <c r="Q57" s="648"/>
    </row>
    <row r="58" spans="2:18" s="11" customFormat="1" ht="19.95" customHeight="1" x14ac:dyDescent="0.25">
      <c r="B58" s="311" t="s">
        <v>601</v>
      </c>
      <c r="C58" s="226">
        <f>C59-C57</f>
        <v>1413.0473518099998</v>
      </c>
      <c r="D58" s="226">
        <f t="shared" ref="D58:N58" si="20">D59-D57</f>
        <v>1577.5293249399997</v>
      </c>
      <c r="E58" s="226">
        <f t="shared" si="20"/>
        <v>1572.8525521999998</v>
      </c>
      <c r="F58" s="226">
        <f t="shared" si="20"/>
        <v>1576.4552006399997</v>
      </c>
      <c r="G58" s="226">
        <f t="shared" si="20"/>
        <v>1642.9759409899998</v>
      </c>
      <c r="H58" s="226">
        <f t="shared" si="20"/>
        <v>1696.44882484</v>
      </c>
      <c r="I58" s="226">
        <f t="shared" si="20"/>
        <v>1688.2440609000005</v>
      </c>
      <c r="J58" s="226">
        <f t="shared" si="20"/>
        <v>1790.36006714</v>
      </c>
      <c r="K58" s="226">
        <f t="shared" si="20"/>
        <v>1801.2100858599997</v>
      </c>
      <c r="L58" s="226">
        <f t="shared" si="20"/>
        <v>1814.3468552899999</v>
      </c>
      <c r="M58" s="983">
        <f t="shared" si="20"/>
        <v>1835.90786546</v>
      </c>
      <c r="N58" s="309">
        <f t="shared" si="20"/>
        <v>2117.5473340699996</v>
      </c>
      <c r="P58" s="648"/>
      <c r="Q58" s="648"/>
    </row>
    <row r="59" spans="2:18" s="11" customFormat="1" ht="19.95" customHeight="1" x14ac:dyDescent="0.25">
      <c r="B59" s="650" t="s">
        <v>599</v>
      </c>
      <c r="C59" s="651">
        <f>C54</f>
        <v>3306.5581568099997</v>
      </c>
      <c r="D59" s="651">
        <f>D54</f>
        <v>3461.3334389399997</v>
      </c>
      <c r="E59" s="651">
        <f t="shared" ref="E59:N59" si="21">E54</f>
        <v>3437.4113951999998</v>
      </c>
      <c r="F59" s="651">
        <f t="shared" si="21"/>
        <v>3439.2119406399997</v>
      </c>
      <c r="G59" s="651">
        <f t="shared" si="21"/>
        <v>3498.2454079899999</v>
      </c>
      <c r="H59" s="651">
        <f t="shared" si="21"/>
        <v>3547.9853788400001</v>
      </c>
      <c r="I59" s="651">
        <f t="shared" si="21"/>
        <v>3511.2827739000004</v>
      </c>
      <c r="J59" s="651">
        <f t="shared" si="21"/>
        <v>3310.24276014</v>
      </c>
      <c r="K59" s="651">
        <f t="shared" si="21"/>
        <v>3318.8645858599998</v>
      </c>
      <c r="L59" s="651">
        <f t="shared" si="21"/>
        <v>3322.808</v>
      </c>
      <c r="M59" s="950">
        <f t="shared" si="21"/>
        <v>3317.68946074</v>
      </c>
      <c r="N59" s="652">
        <f t="shared" si="21"/>
        <v>3463.7683340699996</v>
      </c>
      <c r="Q59" s="648"/>
    </row>
    <row r="60" spans="2:18" s="11" customFormat="1" ht="11.4" customHeight="1" x14ac:dyDescent="0.25">
      <c r="B60" s="649"/>
      <c r="C60" s="296"/>
      <c r="D60" s="296"/>
      <c r="E60" s="296"/>
      <c r="F60" s="296"/>
      <c r="G60" s="296"/>
      <c r="H60" s="296"/>
      <c r="I60" s="296"/>
      <c r="J60" s="296"/>
      <c r="K60" s="296"/>
      <c r="L60" s="296"/>
      <c r="M60" s="296"/>
      <c r="N60" s="296"/>
    </row>
    <row r="61" spans="2:18" s="11" customFormat="1" ht="13.5" customHeight="1" x14ac:dyDescent="0.25">
      <c r="B61" s="1047"/>
      <c r="C61" s="1048"/>
      <c r="D61" s="1048"/>
      <c r="E61" s="1048"/>
      <c r="F61" s="1048"/>
      <c r="G61" s="1048"/>
      <c r="H61" s="1048"/>
      <c r="I61" s="1048"/>
      <c r="J61" s="1048"/>
      <c r="K61" s="1048"/>
      <c r="L61" s="1048"/>
      <c r="M61" s="1048"/>
      <c r="N61" s="1048"/>
    </row>
    <row r="62" spans="2:18" s="6" customFormat="1" ht="28.5" customHeight="1" x14ac:dyDescent="0.25">
      <c r="B62" s="304" t="s">
        <v>11</v>
      </c>
      <c r="C62" s="305">
        <v>45016</v>
      </c>
      <c r="D62" s="305">
        <v>45107</v>
      </c>
      <c r="E62" s="305">
        <v>45199</v>
      </c>
      <c r="F62" s="305">
        <v>45291</v>
      </c>
      <c r="G62" s="305">
        <v>45382</v>
      </c>
      <c r="H62" s="305">
        <v>45473</v>
      </c>
      <c r="I62" s="305">
        <v>45565</v>
      </c>
      <c r="J62" s="305">
        <v>45657</v>
      </c>
      <c r="K62" s="305">
        <v>45747</v>
      </c>
      <c r="L62" s="305">
        <v>45838</v>
      </c>
      <c r="M62" s="321">
        <v>45930</v>
      </c>
      <c r="N62" s="306">
        <v>46022</v>
      </c>
    </row>
    <row r="63" spans="2:18" s="9" customFormat="1" ht="20.25" customHeight="1" x14ac:dyDescent="0.25">
      <c r="B63" s="311" t="s">
        <v>19</v>
      </c>
      <c r="C63" s="144">
        <v>24277.181081999999</v>
      </c>
      <c r="D63" s="144">
        <v>23702.750005000002</v>
      </c>
      <c r="E63" s="145">
        <v>23350.971354000001</v>
      </c>
      <c r="F63" s="144">
        <v>24184.438458000001</v>
      </c>
      <c r="G63" s="144">
        <v>23527.740998000001</v>
      </c>
      <c r="H63" s="145">
        <v>23467.172824000001</v>
      </c>
      <c r="I63" s="145">
        <v>23270.471738</v>
      </c>
      <c r="J63" s="145">
        <v>24508.576004999999</v>
      </c>
      <c r="K63" s="145">
        <v>23881.518606000001</v>
      </c>
      <c r="L63" s="145">
        <v>23867.162552999998</v>
      </c>
      <c r="M63" s="900">
        <v>24016.661892</v>
      </c>
      <c r="N63" s="202">
        <v>25097.472366999998</v>
      </c>
      <c r="P63" s="758"/>
      <c r="Q63" s="39"/>
      <c r="R63" s="39"/>
    </row>
    <row r="64" spans="2:18" s="9" customFormat="1" ht="20.25" customHeight="1" x14ac:dyDescent="0.25">
      <c r="B64" s="311" t="s">
        <v>20</v>
      </c>
      <c r="C64" s="144">
        <v>21038.986684</v>
      </c>
      <c r="D64" s="144">
        <v>21165.675943999999</v>
      </c>
      <c r="E64" s="145">
        <v>21446.329603000002</v>
      </c>
      <c r="F64" s="144">
        <v>21876.783459000002</v>
      </c>
      <c r="G64" s="144">
        <v>21755.955046999999</v>
      </c>
      <c r="H64" s="145">
        <v>22747.633449999998</v>
      </c>
      <c r="I64" s="145">
        <v>23774.306382000002</v>
      </c>
      <c r="J64" s="145">
        <v>24662.818252999998</v>
      </c>
      <c r="K64" s="145">
        <v>23790.598916999999</v>
      </c>
      <c r="L64" s="145">
        <v>25953.931485000001</v>
      </c>
      <c r="M64" s="900">
        <v>26817.456912000001</v>
      </c>
      <c r="N64" s="202">
        <v>27915.197275999999</v>
      </c>
      <c r="P64" s="758"/>
      <c r="Q64" s="39"/>
      <c r="R64" s="39"/>
    </row>
    <row r="65" spans="2:18" s="9" customFormat="1" ht="20.25" customHeight="1" x14ac:dyDescent="0.25">
      <c r="B65" s="311" t="s">
        <v>87</v>
      </c>
      <c r="C65" s="144">
        <v>11857.747619</v>
      </c>
      <c r="D65" s="144">
        <v>13513.061891000001</v>
      </c>
      <c r="E65" s="145">
        <v>13865.773385</v>
      </c>
      <c r="F65" s="144">
        <v>13505.433376999999</v>
      </c>
      <c r="G65" s="144">
        <v>13307.001789</v>
      </c>
      <c r="H65" s="145">
        <v>13542.628015999999</v>
      </c>
      <c r="I65" s="145">
        <v>13495.229067</v>
      </c>
      <c r="J65" s="145">
        <v>13681.466689999999</v>
      </c>
      <c r="K65" s="145">
        <v>13767.064464999999</v>
      </c>
      <c r="L65" s="145">
        <v>13037.22926</v>
      </c>
      <c r="M65" s="900">
        <v>13035.098730000002</v>
      </c>
      <c r="N65" s="202">
        <v>13084.168424999998</v>
      </c>
      <c r="P65" s="758"/>
      <c r="Q65" s="39"/>
      <c r="R65" s="39"/>
    </row>
    <row r="66" spans="2:18" s="9" customFormat="1" ht="20.25" customHeight="1" x14ac:dyDescent="0.25">
      <c r="B66" s="312" t="s">
        <v>201</v>
      </c>
      <c r="C66" s="296">
        <f t="shared" ref="C66:L66" si="22">C63+C64+C65</f>
        <v>57173.915385</v>
      </c>
      <c r="D66" s="296">
        <f t="shared" si="22"/>
        <v>58381.487840000002</v>
      </c>
      <c r="E66" s="295">
        <f t="shared" si="22"/>
        <v>58663.074342</v>
      </c>
      <c r="F66" s="296">
        <f t="shared" si="22"/>
        <v>59566.655294000004</v>
      </c>
      <c r="G66" s="296">
        <f t="shared" si="22"/>
        <v>58590.697834000006</v>
      </c>
      <c r="H66" s="295">
        <f t="shared" si="22"/>
        <v>59757.434290000005</v>
      </c>
      <c r="I66" s="295">
        <f t="shared" si="22"/>
        <v>60540.007187000003</v>
      </c>
      <c r="J66" s="295">
        <f t="shared" si="22"/>
        <v>62852.860948000001</v>
      </c>
      <c r="K66" s="295">
        <f t="shared" si="22"/>
        <v>61439.181987999997</v>
      </c>
      <c r="L66" s="295">
        <f t="shared" si="22"/>
        <v>62858.323297999996</v>
      </c>
      <c r="M66" s="921">
        <f t="shared" ref="M66:N66" si="23">M63+M64+M65</f>
        <v>63869.217533999996</v>
      </c>
      <c r="N66" s="307">
        <f t="shared" si="23"/>
        <v>66096.838067999997</v>
      </c>
      <c r="P66" s="985"/>
      <c r="Q66" s="39"/>
      <c r="R66" s="39"/>
    </row>
    <row r="67" spans="2:18" s="9" customFormat="1" ht="14.25" customHeight="1" x14ac:dyDescent="0.25">
      <c r="B67" s="312"/>
      <c r="C67" s="296"/>
      <c r="D67" s="296"/>
      <c r="E67" s="295"/>
      <c r="F67" s="296"/>
      <c r="G67" s="296"/>
      <c r="H67" s="295"/>
      <c r="I67" s="295"/>
      <c r="J67" s="295"/>
      <c r="K67" s="295"/>
      <c r="L67" s="295"/>
      <c r="M67" s="921"/>
      <c r="N67" s="307"/>
    </row>
    <row r="68" spans="2:18" s="9" customFormat="1" ht="20.25" customHeight="1" x14ac:dyDescent="0.25">
      <c r="B68" s="313" t="s">
        <v>21</v>
      </c>
      <c r="C68" s="296"/>
      <c r="D68" s="296"/>
      <c r="E68" s="295"/>
      <c r="F68" s="296"/>
      <c r="G68" s="296"/>
      <c r="H68" s="295"/>
      <c r="I68" s="295"/>
      <c r="J68" s="295"/>
      <c r="K68" s="295"/>
      <c r="L68" s="295"/>
      <c r="M68" s="921"/>
      <c r="N68" s="307"/>
    </row>
    <row r="69" spans="2:18" s="9" customFormat="1" ht="20.25" customHeight="1" x14ac:dyDescent="0.25">
      <c r="B69" s="311" t="s">
        <v>19</v>
      </c>
      <c r="C69" s="298">
        <f t="shared" ref="C69:L69" si="24">+C63/C$66</f>
        <v>0.42461987986167021</v>
      </c>
      <c r="D69" s="298">
        <f t="shared" si="24"/>
        <v>0.40599770375773281</v>
      </c>
      <c r="E69" s="314">
        <f t="shared" si="24"/>
        <v>0.398052294666081</v>
      </c>
      <c r="F69" s="298">
        <f t="shared" si="24"/>
        <v>0.40600631911652824</v>
      </c>
      <c r="G69" s="298">
        <f t="shared" si="24"/>
        <v>0.40156103046697156</v>
      </c>
      <c r="H69" s="314">
        <f t="shared" si="24"/>
        <v>0.3927071686196385</v>
      </c>
      <c r="I69" s="314">
        <f t="shared" si="24"/>
        <v>0.38438171416334027</v>
      </c>
      <c r="J69" s="314">
        <f t="shared" si="24"/>
        <v>0.38993572663743431</v>
      </c>
      <c r="K69" s="314">
        <f t="shared" si="24"/>
        <v>0.38870176706884579</v>
      </c>
      <c r="L69" s="314">
        <f t="shared" si="24"/>
        <v>0.37969772817276842</v>
      </c>
      <c r="M69" s="923">
        <f t="shared" ref="M69:N69" si="25">+M63/M$66</f>
        <v>0.37602874779568146</v>
      </c>
      <c r="N69" s="315">
        <f t="shared" si="25"/>
        <v>0.37970760932890441</v>
      </c>
    </row>
    <row r="70" spans="2:18" s="9" customFormat="1" ht="20.25" customHeight="1" x14ac:dyDescent="0.25">
      <c r="B70" s="311" t="s">
        <v>20</v>
      </c>
      <c r="C70" s="298">
        <f t="shared" ref="C70:L70" si="26">+C64/C$66</f>
        <v>0.36798226153179869</v>
      </c>
      <c r="D70" s="298">
        <f t="shared" si="26"/>
        <v>0.36254087943093433</v>
      </c>
      <c r="E70" s="314">
        <f t="shared" si="26"/>
        <v>0.36558482219956617</v>
      </c>
      <c r="F70" s="298">
        <f t="shared" si="26"/>
        <v>0.36726560104850464</v>
      </c>
      <c r="G70" s="298">
        <f t="shared" si="26"/>
        <v>0.37132097502301953</v>
      </c>
      <c r="H70" s="314">
        <f t="shared" si="26"/>
        <v>0.38066616681711613</v>
      </c>
      <c r="I70" s="314">
        <f t="shared" si="26"/>
        <v>0.39270405615520232</v>
      </c>
      <c r="J70" s="314">
        <f t="shared" si="26"/>
        <v>0.39238974775395291</v>
      </c>
      <c r="K70" s="314">
        <f t="shared" si="26"/>
        <v>0.38722193471987737</v>
      </c>
      <c r="L70" s="314">
        <f t="shared" si="26"/>
        <v>0.4128957013688877</v>
      </c>
      <c r="M70" s="923">
        <f t="shared" ref="M70:N70" si="27">+M64/M$66</f>
        <v>0.4198807805610591</v>
      </c>
      <c r="N70" s="315">
        <f t="shared" si="27"/>
        <v>0.42233786202119117</v>
      </c>
    </row>
    <row r="71" spans="2:18" s="9" customFormat="1" ht="20.25" customHeight="1" x14ac:dyDescent="0.25">
      <c r="B71" s="311" t="s">
        <v>87</v>
      </c>
      <c r="C71" s="298">
        <f t="shared" ref="C71:L71" si="28">+C65/C$66</f>
        <v>0.20739785860653104</v>
      </c>
      <c r="D71" s="298">
        <f t="shared" si="28"/>
        <v>0.23146141681133287</v>
      </c>
      <c r="E71" s="314">
        <f t="shared" si="28"/>
        <v>0.23636288313435286</v>
      </c>
      <c r="F71" s="298">
        <f t="shared" si="28"/>
        <v>0.22672807983496712</v>
      </c>
      <c r="G71" s="298">
        <f t="shared" si="28"/>
        <v>0.22711799451000883</v>
      </c>
      <c r="H71" s="314">
        <f t="shared" si="28"/>
        <v>0.22662666456324521</v>
      </c>
      <c r="I71" s="314">
        <f t="shared" si="28"/>
        <v>0.22291422968145741</v>
      </c>
      <c r="J71" s="314">
        <f t="shared" si="28"/>
        <v>0.2176745256086127</v>
      </c>
      <c r="K71" s="314">
        <f t="shared" si="28"/>
        <v>0.22407629821127689</v>
      </c>
      <c r="L71" s="314">
        <f t="shared" si="28"/>
        <v>0.20740657045834396</v>
      </c>
      <c r="M71" s="923">
        <f t="shared" ref="M71:N71" si="29">+M65/M$66</f>
        <v>0.20409047164325955</v>
      </c>
      <c r="N71" s="315">
        <f t="shared" si="29"/>
        <v>0.1979545286499044</v>
      </c>
    </row>
    <row r="72" spans="2:18" s="9" customFormat="1" ht="20.25" customHeight="1" x14ac:dyDescent="0.25">
      <c r="B72" s="316" t="s">
        <v>202</v>
      </c>
      <c r="C72" s="317">
        <f t="shared" ref="C72:L72" si="30">+C69+C70+C71</f>
        <v>1</v>
      </c>
      <c r="D72" s="317">
        <f t="shared" si="30"/>
        <v>1</v>
      </c>
      <c r="E72" s="318">
        <f t="shared" si="30"/>
        <v>1</v>
      </c>
      <c r="F72" s="317">
        <f t="shared" si="30"/>
        <v>1</v>
      </c>
      <c r="G72" s="317">
        <f t="shared" si="30"/>
        <v>0.99999999999999989</v>
      </c>
      <c r="H72" s="318">
        <f t="shared" si="30"/>
        <v>0.99999999999999989</v>
      </c>
      <c r="I72" s="318">
        <f t="shared" si="30"/>
        <v>1</v>
      </c>
      <c r="J72" s="318">
        <f t="shared" si="30"/>
        <v>0.99999999999999989</v>
      </c>
      <c r="K72" s="318">
        <f t="shared" si="30"/>
        <v>1</v>
      </c>
      <c r="L72" s="318">
        <f t="shared" si="30"/>
        <v>1</v>
      </c>
      <c r="M72" s="924">
        <f t="shared" ref="M72:N72" si="31">+M69+M70+M71</f>
        <v>1</v>
      </c>
      <c r="N72" s="319">
        <f t="shared" si="31"/>
        <v>0.99999999999999989</v>
      </c>
    </row>
    <row r="73" spans="2:18" s="11" customFormat="1" ht="11.25" customHeight="1" x14ac:dyDescent="0.25">
      <c r="B73" s="265"/>
      <c r="C73" s="265"/>
      <c r="D73" s="265"/>
      <c r="E73" s="265"/>
      <c r="F73" s="265"/>
      <c r="G73" s="265"/>
      <c r="H73" s="265"/>
      <c r="I73" s="265"/>
      <c r="J73" s="265"/>
      <c r="K73" s="265"/>
      <c r="L73" s="265"/>
      <c r="M73" s="265"/>
      <c r="N73" s="265"/>
    </row>
    <row r="74" spans="2:18" s="19" customFormat="1" ht="13.5" customHeight="1" x14ac:dyDescent="0.25">
      <c r="B74" s="302"/>
      <c r="C74" s="303"/>
      <c r="D74" s="303"/>
      <c r="E74" s="303"/>
      <c r="F74" s="303"/>
      <c r="G74" s="303"/>
      <c r="H74" s="303"/>
      <c r="I74" s="303"/>
      <c r="J74" s="303"/>
      <c r="K74" s="303"/>
      <c r="L74" s="303"/>
      <c r="M74" s="303"/>
      <c r="N74" s="303"/>
    </row>
    <row r="75" spans="2:18" ht="21" customHeight="1" x14ac:dyDescent="0.25">
      <c r="B75" s="304" t="s">
        <v>84</v>
      </c>
      <c r="C75" s="305">
        <v>45016</v>
      </c>
      <c r="D75" s="305">
        <v>45107</v>
      </c>
      <c r="E75" s="305">
        <v>45199</v>
      </c>
      <c r="F75" s="305">
        <v>45291</v>
      </c>
      <c r="G75" s="305">
        <v>45382</v>
      </c>
      <c r="H75" s="305">
        <v>45473</v>
      </c>
      <c r="I75" s="305">
        <v>45565</v>
      </c>
      <c r="J75" s="305">
        <v>45657</v>
      </c>
      <c r="K75" s="305">
        <v>45747</v>
      </c>
      <c r="L75" s="305">
        <v>45838</v>
      </c>
      <c r="M75" s="321">
        <v>45930</v>
      </c>
      <c r="N75" s="306">
        <v>46022</v>
      </c>
    </row>
    <row r="76" spans="2:18" ht="21" customHeight="1" x14ac:dyDescent="0.25">
      <c r="B76" s="146" t="s">
        <v>85</v>
      </c>
      <c r="C76" s="148">
        <f t="shared" ref="C76:L76" si="32">C77+C78</f>
        <v>57173.915385</v>
      </c>
      <c r="D76" s="148">
        <f t="shared" si="32"/>
        <v>58381.487840000002</v>
      </c>
      <c r="E76" s="147">
        <f t="shared" si="32"/>
        <v>58663.074342</v>
      </c>
      <c r="F76" s="148">
        <f t="shared" si="32"/>
        <v>59566.655293999997</v>
      </c>
      <c r="G76" s="148">
        <f t="shared" si="32"/>
        <v>58590.697834000006</v>
      </c>
      <c r="H76" s="147">
        <f t="shared" si="32"/>
        <v>59757.434290000005</v>
      </c>
      <c r="I76" s="147">
        <f t="shared" si="32"/>
        <v>60540.007187000003</v>
      </c>
      <c r="J76" s="147">
        <f t="shared" si="32"/>
        <v>62852.860947999994</v>
      </c>
      <c r="K76" s="147">
        <f t="shared" si="32"/>
        <v>61439.181988000011</v>
      </c>
      <c r="L76" s="147">
        <f t="shared" si="32"/>
        <v>62858.323297999996</v>
      </c>
      <c r="M76" s="902">
        <f t="shared" ref="M76:N76" si="33">M77+M78</f>
        <v>63869.217533999996</v>
      </c>
      <c r="N76" s="204">
        <f t="shared" si="33"/>
        <v>66096.838067999997</v>
      </c>
      <c r="P76" s="987"/>
      <c r="Q76" s="987"/>
    </row>
    <row r="77" spans="2:18" ht="21" customHeight="1" x14ac:dyDescent="0.25">
      <c r="B77" s="143" t="s">
        <v>86</v>
      </c>
      <c r="C77" s="144">
        <v>45316.167765999999</v>
      </c>
      <c r="D77" s="144">
        <v>44868.425948999997</v>
      </c>
      <c r="E77" s="145">
        <v>44797.300956999999</v>
      </c>
      <c r="F77" s="144">
        <v>46061.221916999995</v>
      </c>
      <c r="G77" s="144">
        <v>45283.696045000004</v>
      </c>
      <c r="H77" s="145">
        <v>46214.806274000002</v>
      </c>
      <c r="I77" s="145">
        <v>47044.778120000003</v>
      </c>
      <c r="J77" s="145">
        <v>49171.394257999993</v>
      </c>
      <c r="K77" s="145">
        <v>47672.117523000008</v>
      </c>
      <c r="L77" s="145">
        <v>49821.094037999996</v>
      </c>
      <c r="M77" s="900">
        <v>50834.118803999998</v>
      </c>
      <c r="N77" s="202">
        <v>53012.669642999994</v>
      </c>
    </row>
    <row r="78" spans="2:18" ht="21" customHeight="1" x14ac:dyDescent="0.25">
      <c r="B78" s="143" t="s">
        <v>87</v>
      </c>
      <c r="C78" s="144">
        <v>11857.747619</v>
      </c>
      <c r="D78" s="144">
        <v>13513.061891000001</v>
      </c>
      <c r="E78" s="145">
        <v>13865.773385</v>
      </c>
      <c r="F78" s="144">
        <v>13505.433376999999</v>
      </c>
      <c r="G78" s="144">
        <v>13307.001789</v>
      </c>
      <c r="H78" s="145">
        <v>13542.628015999999</v>
      </c>
      <c r="I78" s="145">
        <v>13495.229067</v>
      </c>
      <c r="J78" s="145">
        <v>13681.466689999999</v>
      </c>
      <c r="K78" s="145">
        <v>13767.064464999999</v>
      </c>
      <c r="L78" s="145">
        <v>13037.22926</v>
      </c>
      <c r="M78" s="900">
        <v>13035.098730000002</v>
      </c>
      <c r="N78" s="202">
        <v>13084.168424999998</v>
      </c>
    </row>
    <row r="79" spans="2:18" ht="21" customHeight="1" x14ac:dyDescent="0.25">
      <c r="B79" s="146" t="s">
        <v>537</v>
      </c>
      <c r="C79" s="296">
        <f t="shared" ref="C79:L79" si="34">C80+C81+C82</f>
        <v>7554</v>
      </c>
      <c r="D79" s="296">
        <f t="shared" si="34"/>
        <v>8220</v>
      </c>
      <c r="E79" s="296">
        <f t="shared" si="34"/>
        <v>8512</v>
      </c>
      <c r="F79" s="296">
        <f t="shared" si="34"/>
        <v>9311</v>
      </c>
      <c r="G79" s="296">
        <f t="shared" si="34"/>
        <v>10037</v>
      </c>
      <c r="H79" s="295">
        <f t="shared" si="34"/>
        <v>10427</v>
      </c>
      <c r="I79" s="295">
        <f t="shared" si="34"/>
        <v>11009</v>
      </c>
      <c r="J79" s="295">
        <f t="shared" si="34"/>
        <v>11440</v>
      </c>
      <c r="K79" s="295">
        <f t="shared" si="34"/>
        <v>12521</v>
      </c>
      <c r="L79" s="295">
        <f t="shared" si="34"/>
        <v>13191.5</v>
      </c>
      <c r="M79" s="921">
        <f t="shared" ref="M79" si="35">M80+M81+M82</f>
        <v>14268</v>
      </c>
      <c r="N79" s="307">
        <f>N80+N81+N82</f>
        <v>14514</v>
      </c>
      <c r="P79" s="985"/>
      <c r="Q79" s="986"/>
      <c r="R79" s="823"/>
    </row>
    <row r="80" spans="2:18" ht="21" customHeight="1" x14ac:dyDescent="0.25">
      <c r="B80" s="308" t="s">
        <v>281</v>
      </c>
      <c r="C80" s="226">
        <v>2559</v>
      </c>
      <c r="D80" s="226">
        <v>2752</v>
      </c>
      <c r="E80" s="234">
        <v>2873</v>
      </c>
      <c r="F80" s="226">
        <v>3347</v>
      </c>
      <c r="G80" s="226">
        <v>3726</v>
      </c>
      <c r="H80" s="234">
        <v>4102</v>
      </c>
      <c r="I80" s="234">
        <v>4403</v>
      </c>
      <c r="J80" s="234">
        <v>4578</v>
      </c>
      <c r="K80" s="234">
        <v>5187.5</v>
      </c>
      <c r="L80" s="234">
        <v>5378</v>
      </c>
      <c r="M80" s="925">
        <v>5846</v>
      </c>
      <c r="N80" s="309">
        <v>5950.5</v>
      </c>
      <c r="P80" s="1020"/>
      <c r="Q80" s="823"/>
    </row>
    <row r="81" spans="2:17" ht="21" customHeight="1" x14ac:dyDescent="0.25">
      <c r="B81" s="308" t="s">
        <v>339</v>
      </c>
      <c r="C81" s="226">
        <v>1333</v>
      </c>
      <c r="D81" s="226">
        <v>1600</v>
      </c>
      <c r="E81" s="234">
        <v>1686</v>
      </c>
      <c r="F81" s="226">
        <v>1811</v>
      </c>
      <c r="G81" s="226">
        <v>1975</v>
      </c>
      <c r="H81" s="234">
        <v>1878</v>
      </c>
      <c r="I81" s="234">
        <v>1989</v>
      </c>
      <c r="J81" s="234">
        <v>2060</v>
      </c>
      <c r="K81" s="234">
        <v>2390.5</v>
      </c>
      <c r="L81" s="234">
        <v>2662</v>
      </c>
      <c r="M81" s="925">
        <v>3069</v>
      </c>
      <c r="N81" s="309">
        <v>2998.5</v>
      </c>
      <c r="P81" s="1020"/>
      <c r="Q81" s="823"/>
    </row>
    <row r="82" spans="2:17" ht="21" customHeight="1" x14ac:dyDescent="0.25">
      <c r="B82" s="308" t="s">
        <v>282</v>
      </c>
      <c r="C82" s="226">
        <v>3662</v>
      </c>
      <c r="D82" s="226">
        <v>3868</v>
      </c>
      <c r="E82" s="234">
        <v>3953</v>
      </c>
      <c r="F82" s="226">
        <v>4153</v>
      </c>
      <c r="G82" s="226">
        <v>4336</v>
      </c>
      <c r="H82" s="234">
        <v>4447</v>
      </c>
      <c r="I82" s="234">
        <v>4617</v>
      </c>
      <c r="J82" s="234">
        <v>4802</v>
      </c>
      <c r="K82" s="234">
        <v>4943</v>
      </c>
      <c r="L82" s="234">
        <v>5151.5</v>
      </c>
      <c r="M82" s="925">
        <v>5353</v>
      </c>
      <c r="N82" s="309">
        <v>5565</v>
      </c>
      <c r="P82" s="1020"/>
      <c r="Q82" s="823"/>
    </row>
    <row r="83" spans="2:17" ht="21" customHeight="1" x14ac:dyDescent="0.25">
      <c r="B83" s="310" t="s">
        <v>283</v>
      </c>
      <c r="C83" s="173">
        <f t="shared" ref="C83:L83" si="36">C76+C79</f>
        <v>64727.915385</v>
      </c>
      <c r="D83" s="173">
        <f t="shared" si="36"/>
        <v>66601.487840000002</v>
      </c>
      <c r="E83" s="172">
        <f t="shared" si="36"/>
        <v>67175.074342000007</v>
      </c>
      <c r="F83" s="173">
        <f t="shared" si="36"/>
        <v>68877.655293999997</v>
      </c>
      <c r="G83" s="173">
        <f t="shared" si="36"/>
        <v>68627.697834000006</v>
      </c>
      <c r="H83" s="172">
        <f t="shared" si="36"/>
        <v>70184.434290000005</v>
      </c>
      <c r="I83" s="172">
        <f t="shared" si="36"/>
        <v>71549.00718700001</v>
      </c>
      <c r="J83" s="172">
        <f t="shared" si="36"/>
        <v>74292.860947999987</v>
      </c>
      <c r="K83" s="172">
        <f t="shared" si="36"/>
        <v>73960.181988000011</v>
      </c>
      <c r="L83" s="172">
        <f t="shared" si="36"/>
        <v>76049.823298000003</v>
      </c>
      <c r="M83" s="909">
        <f t="shared" ref="M83" si="37">M76+M79</f>
        <v>78137.217533999996</v>
      </c>
      <c r="N83" s="211">
        <f>N76+N79</f>
        <v>80610.838067999997</v>
      </c>
      <c r="Q83" s="823"/>
    </row>
    <row r="84" spans="2:17" ht="11.25" customHeight="1" x14ac:dyDescent="0.25">
      <c r="B84" s="1046"/>
      <c r="C84" s="1046"/>
      <c r="D84" s="1046"/>
      <c r="E84" s="1046"/>
      <c r="F84" s="1046"/>
      <c r="G84" s="1046"/>
      <c r="H84" s="1046"/>
      <c r="I84" s="1046"/>
      <c r="J84" s="1046"/>
      <c r="K84" s="1046"/>
      <c r="L84" s="1046"/>
      <c r="M84" s="1046"/>
      <c r="N84" s="1046"/>
    </row>
    <row r="85" spans="2:17" ht="21" customHeight="1" x14ac:dyDescent="0.25">
      <c r="B85" s="1047" t="s">
        <v>469</v>
      </c>
      <c r="C85" s="1048"/>
      <c r="D85" s="1048"/>
      <c r="E85" s="1048"/>
      <c r="F85" s="1048"/>
      <c r="G85" s="1048"/>
      <c r="H85" s="1048"/>
      <c r="I85" s="1048"/>
      <c r="J85" s="1048"/>
      <c r="K85" s="1048"/>
      <c r="L85" s="1048"/>
      <c r="M85" s="1048"/>
      <c r="N85" s="1048"/>
    </row>
    <row r="86" spans="2:17" ht="21" customHeight="1" x14ac:dyDescent="0.25">
      <c r="B86" s="165" t="s">
        <v>534</v>
      </c>
      <c r="C86" s="165"/>
      <c r="D86" s="165"/>
      <c r="E86" s="165"/>
      <c r="F86" s="165"/>
      <c r="G86" s="165"/>
      <c r="H86" s="165"/>
      <c r="I86" s="165"/>
      <c r="J86" s="165"/>
      <c r="K86" s="165"/>
      <c r="L86" s="165"/>
      <c r="M86" s="165"/>
      <c r="N86" s="165"/>
    </row>
    <row r="87" spans="2:17" ht="21" customHeight="1" x14ac:dyDescent="0.25">
      <c r="B87" s="1046" t="s">
        <v>535</v>
      </c>
      <c r="C87" s="1046"/>
      <c r="D87" s="1046"/>
      <c r="E87" s="1046"/>
      <c r="F87" s="1046"/>
      <c r="G87" s="1046"/>
      <c r="H87" s="1046"/>
      <c r="I87" s="1046"/>
      <c r="J87" s="1046"/>
      <c r="K87" s="1046"/>
      <c r="L87" s="1046"/>
      <c r="M87" s="1046"/>
      <c r="N87" s="1046"/>
    </row>
  </sheetData>
  <mergeCells count="5">
    <mergeCell ref="B5:N5"/>
    <mergeCell ref="B84:N84"/>
    <mergeCell ref="B61:N61"/>
    <mergeCell ref="B85:N85"/>
    <mergeCell ref="B87:N87"/>
  </mergeCells>
  <hyperlinks>
    <hyperlink ref="A14" location="'Piraeus BG'!W780" display="'Piraeus BG'!W780" xr:uid="{00000000-0004-0000-0300-000000000000}"/>
    <hyperlink ref="A10" location="'Piraeus BG'!V780" display="'Piraeus BG'!V780" xr:uid="{00000000-0004-0000-0300-000001000000}"/>
    <hyperlink ref="A23" location="'Piraeus BG'!W780" display="'Piraeus BG'!W780" xr:uid="{00000000-0004-0000-0300-000002000000}"/>
    <hyperlink ref="A19" location="'Piraeus BG'!V780" display="'Piraeus BG'!V780" xr:uid="{00000000-0004-0000-0300-000003000000}"/>
    <hyperlink ref="N2" location="'Cover '!A1" display="Back to Cover" xr:uid="{00000000-0004-0000-0300-000004000000}"/>
  </hyperlinks>
  <printOptions horizontalCentered="1" verticalCentered="1"/>
  <pageMargins left="0" right="0" top="0" bottom="0" header="0" footer="0"/>
  <pageSetup paperSize="8" scale="50" orientation="landscape" r:id="rId1"/>
  <headerFooter alignWithMargins="0"/>
  <ignoredErrors>
    <ignoredError sqref="M29" 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8">
    <pageSetUpPr fitToPage="1"/>
  </sheetPr>
  <dimension ref="A1:S54"/>
  <sheetViews>
    <sheetView showGridLines="0" view="pageBreakPreview" zoomScale="85" zoomScaleNormal="90" zoomScaleSheetLayoutView="85" workbookViewId="0">
      <pane xSplit="2" ySplit="9" topLeftCell="C10" activePane="bottomRight" state="frozen"/>
      <selection activeCell="M28" sqref="M28"/>
      <selection pane="topRight" activeCell="M28" sqref="M28"/>
      <selection pane="bottomLeft" activeCell="M28" sqref="M28"/>
      <selection pane="bottomRight" activeCell="B5" sqref="B5:N5"/>
    </sheetView>
  </sheetViews>
  <sheetFormatPr defaultColWidth="9.109375" defaultRowHeight="15.6" x14ac:dyDescent="0.25"/>
  <cols>
    <col min="1" max="1" width="2.44140625" style="6" customWidth="1"/>
    <col min="2" max="2" width="83" style="6" customWidth="1"/>
    <col min="3" max="14" width="15.88671875" style="6" customWidth="1"/>
    <col min="15" max="15" width="2.44140625" style="6" customWidth="1"/>
    <col min="16" max="16" width="9.109375" style="6"/>
    <col min="17" max="17" width="19.6640625" style="6" customWidth="1"/>
    <col min="18" max="16384" width="9.109375" style="6"/>
  </cols>
  <sheetData>
    <row r="1" spans="1:18" ht="15.75" customHeight="1" x14ac:dyDescent="0.25"/>
    <row r="2" spans="1:18" ht="15.75" customHeight="1" x14ac:dyDescent="0.25">
      <c r="C2" s="8"/>
      <c r="D2" s="8"/>
      <c r="E2" s="8"/>
      <c r="F2" s="8"/>
      <c r="G2" s="115"/>
      <c r="H2" s="115"/>
      <c r="I2" s="115"/>
      <c r="J2" s="115"/>
      <c r="K2" s="115"/>
      <c r="L2" s="115"/>
      <c r="M2" s="115"/>
      <c r="N2" s="114" t="s">
        <v>18</v>
      </c>
    </row>
    <row r="3" spans="1:18" ht="15.75" customHeight="1" x14ac:dyDescent="0.25"/>
    <row r="4" spans="1:18" ht="15.75" customHeight="1" x14ac:dyDescent="0.25"/>
    <row r="5" spans="1:18" s="17" customFormat="1" ht="27.6" x14ac:dyDescent="0.25">
      <c r="A5" s="16"/>
      <c r="B5" s="1044" t="s">
        <v>43</v>
      </c>
      <c r="C5" s="1049"/>
      <c r="D5" s="1049"/>
      <c r="E5" s="1049"/>
      <c r="F5" s="1049"/>
      <c r="G5" s="1049"/>
      <c r="H5" s="1049"/>
      <c r="I5" s="1049"/>
      <c r="J5" s="1049"/>
      <c r="K5" s="1049"/>
      <c r="L5" s="1049"/>
      <c r="M5" s="1049"/>
      <c r="N5" s="1049"/>
    </row>
    <row r="6" spans="1:18" s="17" customFormat="1" ht="9" customHeight="1" x14ac:dyDescent="0.25">
      <c r="A6" s="16"/>
      <c r="B6" s="18"/>
    </row>
    <row r="7" spans="1:18" s="17" customFormat="1" ht="15.75" customHeight="1" x14ac:dyDescent="0.25">
      <c r="A7" s="18"/>
      <c r="B7" s="21"/>
      <c r="Q7" s="53"/>
    </row>
    <row r="8" spans="1:18" ht="11.4" customHeight="1" x14ac:dyDescent="0.25"/>
    <row r="9" spans="1:18" s="7" customFormat="1" ht="40.200000000000003" customHeight="1" x14ac:dyDescent="0.25">
      <c r="B9" s="341" t="s">
        <v>0</v>
      </c>
      <c r="C9" s="342" t="s">
        <v>154</v>
      </c>
      <c r="D9" s="342" t="s">
        <v>157</v>
      </c>
      <c r="E9" s="342" t="s">
        <v>165</v>
      </c>
      <c r="F9" s="342" t="s">
        <v>268</v>
      </c>
      <c r="G9" s="342" t="s">
        <v>274</v>
      </c>
      <c r="H9" s="342" t="s">
        <v>360</v>
      </c>
      <c r="I9" s="342" t="s">
        <v>397</v>
      </c>
      <c r="J9" s="342" t="s">
        <v>416</v>
      </c>
      <c r="K9" s="342" t="s">
        <v>446</v>
      </c>
      <c r="L9" s="342" t="s">
        <v>455</v>
      </c>
      <c r="M9" s="343" t="s">
        <v>496</v>
      </c>
      <c r="N9" s="344" t="s">
        <v>559</v>
      </c>
    </row>
    <row r="10" spans="1:18" s="9" customFormat="1" ht="24.75" customHeight="1" x14ac:dyDescent="0.25">
      <c r="B10" s="143" t="s">
        <v>1</v>
      </c>
      <c r="C10" s="226">
        <v>446.86599999999999</v>
      </c>
      <c r="D10" s="226">
        <v>487.8</v>
      </c>
      <c r="E10" s="234">
        <v>531.351</v>
      </c>
      <c r="F10" s="226">
        <v>536.64499999999998</v>
      </c>
      <c r="G10" s="226">
        <v>517.62899999999991</v>
      </c>
      <c r="H10" s="234">
        <v>527.55799999999999</v>
      </c>
      <c r="I10" s="234">
        <v>529.50533123000014</v>
      </c>
      <c r="J10" s="234">
        <v>513.51499999999999</v>
      </c>
      <c r="K10" s="234">
        <v>480.952</v>
      </c>
      <c r="L10" s="234">
        <v>473.56599999999997</v>
      </c>
      <c r="M10" s="925">
        <v>471.23099999999999</v>
      </c>
      <c r="N10" s="309">
        <v>476.851</v>
      </c>
      <c r="Q10" s="1005"/>
      <c r="R10" s="95"/>
    </row>
    <row r="11" spans="1:18" s="9" customFormat="1" ht="24.75" customHeight="1" x14ac:dyDescent="0.25">
      <c r="B11" s="143" t="s">
        <v>721</v>
      </c>
      <c r="C11" s="226">
        <v>104.691</v>
      </c>
      <c r="D11" s="226">
        <v>120.48399999999999</v>
      </c>
      <c r="E11" s="234">
        <v>120.30699999999999</v>
      </c>
      <c r="F11" s="226">
        <v>122.61599999999999</v>
      </c>
      <c r="G11" s="226">
        <v>125.37299999999999</v>
      </c>
      <c r="H11" s="234">
        <v>159.35300000000001</v>
      </c>
      <c r="I11" s="234">
        <v>134.57963081</v>
      </c>
      <c r="J11" s="234">
        <v>141.94399999999999</v>
      </c>
      <c r="K11" s="234">
        <v>137.21099999999998</v>
      </c>
      <c r="L11" s="234">
        <v>142.5</v>
      </c>
      <c r="M11" s="925">
        <v>140.33599999999998</v>
      </c>
      <c r="N11" s="309">
        <v>170.52199999999999</v>
      </c>
      <c r="Q11" s="1005"/>
      <c r="R11" s="95"/>
    </row>
    <row r="12" spans="1:18" s="9" customFormat="1" ht="24.75" customHeight="1" x14ac:dyDescent="0.25">
      <c r="B12" s="143" t="s">
        <v>272</v>
      </c>
      <c r="C12" s="226">
        <v>16.956</v>
      </c>
      <c r="D12" s="226">
        <v>20.922000000000001</v>
      </c>
      <c r="E12" s="234">
        <v>19.670000000000002</v>
      </c>
      <c r="F12" s="226">
        <v>20.99</v>
      </c>
      <c r="G12" s="226">
        <v>19.946999999999999</v>
      </c>
      <c r="H12" s="234">
        <v>19.885999999999999</v>
      </c>
      <c r="I12" s="234">
        <v>21.317130179999999</v>
      </c>
      <c r="J12" s="234">
        <v>25.41</v>
      </c>
      <c r="K12" s="234">
        <v>22.512</v>
      </c>
      <c r="L12" s="234">
        <v>23.032</v>
      </c>
      <c r="M12" s="925">
        <v>23.527999999999999</v>
      </c>
      <c r="N12" s="309">
        <v>25.876000000000001</v>
      </c>
      <c r="Q12" s="1005"/>
      <c r="R12" s="95"/>
    </row>
    <row r="13" spans="1:18" s="9" customFormat="1" ht="24.75" customHeight="1" x14ac:dyDescent="0.25">
      <c r="B13" s="143" t="s">
        <v>681</v>
      </c>
      <c r="C13" s="226"/>
      <c r="D13" s="226"/>
      <c r="E13" s="234"/>
      <c r="F13" s="226"/>
      <c r="G13" s="226"/>
      <c r="H13" s="234"/>
      <c r="I13" s="234"/>
      <c r="J13" s="234"/>
      <c r="K13" s="234"/>
      <c r="L13" s="234"/>
      <c r="M13" s="925"/>
      <c r="N13" s="309">
        <v>10.096993999999999</v>
      </c>
      <c r="Q13" s="1005"/>
      <c r="R13" s="95"/>
    </row>
    <row r="14" spans="1:18" s="9" customFormat="1" ht="24.75" customHeight="1" x14ac:dyDescent="0.25">
      <c r="B14" s="374" t="s">
        <v>203</v>
      </c>
      <c r="C14" s="375">
        <f t="shared" ref="C14:L14" si="0">C11+C10+C12</f>
        <v>568.51300000000003</v>
      </c>
      <c r="D14" s="375">
        <f t="shared" si="0"/>
        <v>629.20600000000002</v>
      </c>
      <c r="E14" s="375">
        <f t="shared" si="0"/>
        <v>671.32799999999997</v>
      </c>
      <c r="F14" s="375">
        <f t="shared" si="0"/>
        <v>680.25099999999998</v>
      </c>
      <c r="G14" s="375">
        <f t="shared" si="0"/>
        <v>662.94899999999996</v>
      </c>
      <c r="H14" s="375">
        <f t="shared" si="0"/>
        <v>706.79700000000003</v>
      </c>
      <c r="I14" s="375">
        <f t="shared" si="0"/>
        <v>685.40209222000021</v>
      </c>
      <c r="J14" s="375">
        <f t="shared" si="0"/>
        <v>680.86899999999991</v>
      </c>
      <c r="K14" s="375">
        <f>K11+K10+K12</f>
        <v>640.67499999999995</v>
      </c>
      <c r="L14" s="375">
        <f t="shared" si="0"/>
        <v>639.09800000000007</v>
      </c>
      <c r="M14" s="376">
        <f t="shared" ref="M14" si="1">M11+M10+M12</f>
        <v>635.09500000000003</v>
      </c>
      <c r="N14" s="377">
        <f>N11+N10+N12+N13</f>
        <v>683.34599400000002</v>
      </c>
      <c r="Q14" s="1005"/>
      <c r="R14" s="95"/>
    </row>
    <row r="15" spans="1:18" s="9" customFormat="1" ht="24.75" customHeight="1" x14ac:dyDescent="0.25">
      <c r="B15" s="143" t="s">
        <v>706</v>
      </c>
      <c r="C15" s="234">
        <v>9.7540000000000013</v>
      </c>
      <c r="D15" s="234">
        <v>29.241999999999997</v>
      </c>
      <c r="E15" s="234">
        <v>-7.8949999999999996</v>
      </c>
      <c r="F15" s="226">
        <v>31.995000000000001</v>
      </c>
      <c r="G15" s="226">
        <v>-4.4270000000000005</v>
      </c>
      <c r="H15" s="234">
        <v>7.47</v>
      </c>
      <c r="I15" s="234">
        <v>33.253386879999915</v>
      </c>
      <c r="J15" s="234">
        <v>28.351999999999997</v>
      </c>
      <c r="K15" s="234">
        <v>18.872999999999998</v>
      </c>
      <c r="L15" s="234">
        <v>47.170999999999999</v>
      </c>
      <c r="M15" s="925">
        <v>18.641000000000002</v>
      </c>
      <c r="N15" s="309">
        <v>34.754941228987974</v>
      </c>
      <c r="Q15" s="1005"/>
      <c r="R15" s="95"/>
    </row>
    <row r="16" spans="1:18" s="9" customFormat="1" ht="24.75" customHeight="1" x14ac:dyDescent="0.25">
      <c r="B16" s="143" t="s">
        <v>256</v>
      </c>
      <c r="C16" s="226">
        <v>-1.48</v>
      </c>
      <c r="D16" s="226">
        <v>3.5300000000000002</v>
      </c>
      <c r="E16" s="234">
        <v>-10.244999999999999</v>
      </c>
      <c r="F16" s="226">
        <v>9.7259999999999991</v>
      </c>
      <c r="G16" s="226">
        <v>-66.650999999999996</v>
      </c>
      <c r="H16" s="234">
        <v>11.755000000000001</v>
      </c>
      <c r="I16" s="234">
        <v>-9.9486770399999891</v>
      </c>
      <c r="J16" s="234">
        <v>20.843</v>
      </c>
      <c r="K16" s="234">
        <v>-10.088000000000001</v>
      </c>
      <c r="L16" s="234">
        <v>0.70700000000000007</v>
      </c>
      <c r="M16" s="925">
        <v>-5.3029999999999999</v>
      </c>
      <c r="N16" s="309">
        <v>4.4050060000000002</v>
      </c>
      <c r="Q16" s="1005"/>
      <c r="R16" s="95"/>
    </row>
    <row r="17" spans="2:18" s="9" customFormat="1" ht="24.75" customHeight="1" x14ac:dyDescent="0.25">
      <c r="B17" s="374" t="s">
        <v>204</v>
      </c>
      <c r="C17" s="375">
        <f t="shared" ref="C17:L17" si="2">C16+C10+C11+C12+C15</f>
        <v>576.78700000000003</v>
      </c>
      <c r="D17" s="375">
        <f t="shared" si="2"/>
        <v>661.97799999999995</v>
      </c>
      <c r="E17" s="375">
        <f t="shared" si="2"/>
        <v>653.18799999999999</v>
      </c>
      <c r="F17" s="375">
        <f t="shared" si="2"/>
        <v>721.97199999999998</v>
      </c>
      <c r="G17" s="375">
        <f t="shared" si="2"/>
        <v>591.87099999999987</v>
      </c>
      <c r="H17" s="375">
        <f t="shared" si="2"/>
        <v>726.02199999999993</v>
      </c>
      <c r="I17" s="375">
        <f t="shared" si="2"/>
        <v>708.70680206000009</v>
      </c>
      <c r="J17" s="375">
        <f t="shared" si="2"/>
        <v>730.06399999999985</v>
      </c>
      <c r="K17" s="375">
        <f t="shared" si="2"/>
        <v>649.46</v>
      </c>
      <c r="L17" s="375">
        <f t="shared" si="2"/>
        <v>686.976</v>
      </c>
      <c r="M17" s="376">
        <f t="shared" ref="M17" si="3">M16+M10+M11+M12+M15</f>
        <v>648.43299999999999</v>
      </c>
      <c r="N17" s="377">
        <f>N16+N10+N11+N12+N15+N13</f>
        <v>722.50594122898792</v>
      </c>
      <c r="Q17" s="1005"/>
      <c r="R17" s="95"/>
    </row>
    <row r="18" spans="2:18" s="9" customFormat="1" ht="24.75" customHeight="1" x14ac:dyDescent="0.25">
      <c r="B18" s="378" t="s">
        <v>722</v>
      </c>
      <c r="C18" s="379">
        <v>0</v>
      </c>
      <c r="D18" s="379">
        <v>0</v>
      </c>
      <c r="E18" s="379">
        <v>0</v>
      </c>
      <c r="F18" s="379">
        <v>0</v>
      </c>
      <c r="G18" s="379">
        <v>0</v>
      </c>
      <c r="H18" s="379">
        <v>11.949892</v>
      </c>
      <c r="I18" s="379">
        <v>0</v>
      </c>
      <c r="J18" s="379">
        <v>0</v>
      </c>
      <c r="K18" s="379">
        <v>0</v>
      </c>
      <c r="L18" s="379">
        <v>0</v>
      </c>
      <c r="M18" s="380">
        <v>0</v>
      </c>
      <c r="N18" s="381">
        <v>0</v>
      </c>
      <c r="Q18" s="1005"/>
    </row>
    <row r="19" spans="2:18" s="9" customFormat="1" ht="24.75" customHeight="1" x14ac:dyDescent="0.25">
      <c r="B19" s="748" t="s">
        <v>421</v>
      </c>
      <c r="C19" s="749">
        <v>0</v>
      </c>
      <c r="D19" s="749">
        <v>0</v>
      </c>
      <c r="E19" s="749">
        <v>0</v>
      </c>
      <c r="F19" s="749">
        <v>0</v>
      </c>
      <c r="G19" s="749">
        <v>-43.292000000000002</v>
      </c>
      <c r="H19" s="749">
        <v>0</v>
      </c>
      <c r="I19" s="749">
        <v>0</v>
      </c>
      <c r="J19" s="749">
        <v>0</v>
      </c>
      <c r="K19" s="749">
        <v>0</v>
      </c>
      <c r="L19" s="749">
        <v>0</v>
      </c>
      <c r="M19" s="750">
        <v>0</v>
      </c>
      <c r="N19" s="751">
        <v>0</v>
      </c>
      <c r="Q19" s="1005"/>
    </row>
    <row r="20" spans="2:18" s="9" customFormat="1" ht="24.75" customHeight="1" x14ac:dyDescent="0.25">
      <c r="B20" s="143" t="s">
        <v>2</v>
      </c>
      <c r="C20" s="226">
        <v>96.718999999999994</v>
      </c>
      <c r="D20" s="226">
        <v>96.57</v>
      </c>
      <c r="E20" s="234">
        <v>80.358000000000004</v>
      </c>
      <c r="F20" s="226">
        <v>168.495</v>
      </c>
      <c r="G20" s="226">
        <v>100.86799999999999</v>
      </c>
      <c r="H20" s="234">
        <v>100.80200000000001</v>
      </c>
      <c r="I20" s="234">
        <v>101.65485525</v>
      </c>
      <c r="J20" s="234">
        <v>151.71899999999999</v>
      </c>
      <c r="K20" s="234">
        <v>99.093000000000004</v>
      </c>
      <c r="L20" s="234">
        <v>103.46299999999999</v>
      </c>
      <c r="M20" s="925">
        <v>99.442999999999998</v>
      </c>
      <c r="N20" s="309">
        <v>136.27719300000001</v>
      </c>
      <c r="Q20" s="1005"/>
      <c r="R20" s="95"/>
    </row>
    <row r="21" spans="2:18" s="9" customFormat="1" ht="24.75" customHeight="1" x14ac:dyDescent="0.25">
      <c r="B21" s="143" t="s">
        <v>723</v>
      </c>
      <c r="C21" s="226">
        <v>83.156999999999996</v>
      </c>
      <c r="D21" s="226">
        <v>78.429000000000002</v>
      </c>
      <c r="E21" s="234">
        <v>89.208000000000013</v>
      </c>
      <c r="F21" s="226">
        <v>64.234999999999999</v>
      </c>
      <c r="G21" s="226">
        <v>72.945999999999998</v>
      </c>
      <c r="H21" s="234">
        <v>73.254999999999995</v>
      </c>
      <c r="I21" s="234">
        <v>75.398843909999997</v>
      </c>
      <c r="J21" s="234">
        <v>81.564000000000007</v>
      </c>
      <c r="K21" s="234">
        <v>93.73</v>
      </c>
      <c r="L21" s="234">
        <v>76.032000000000011</v>
      </c>
      <c r="M21" s="925">
        <v>78.41</v>
      </c>
      <c r="N21" s="309">
        <v>78.084261999999995</v>
      </c>
      <c r="Q21" s="1005"/>
      <c r="R21" s="95"/>
    </row>
    <row r="22" spans="2:18" ht="24.75" customHeight="1" x14ac:dyDescent="0.25">
      <c r="B22" s="143" t="s">
        <v>7</v>
      </c>
      <c r="C22" s="226">
        <v>26.146999999999998</v>
      </c>
      <c r="D22" s="226">
        <v>26.212</v>
      </c>
      <c r="E22" s="234">
        <v>26.484999999999999</v>
      </c>
      <c r="F22" s="226">
        <v>27.077999999999999</v>
      </c>
      <c r="G22" s="226">
        <v>28.614999999999998</v>
      </c>
      <c r="H22" s="234">
        <v>29.193999999999999</v>
      </c>
      <c r="I22" s="234">
        <v>30.551236739999993</v>
      </c>
      <c r="J22" s="234">
        <v>30.558</v>
      </c>
      <c r="K22" s="234">
        <v>31.151</v>
      </c>
      <c r="L22" s="234">
        <v>32.353000000000002</v>
      </c>
      <c r="M22" s="925">
        <v>33.377000000000002</v>
      </c>
      <c r="N22" s="309">
        <v>34.283766</v>
      </c>
      <c r="Q22" s="1005"/>
      <c r="R22" s="95"/>
    </row>
    <row r="23" spans="2:18" ht="24.75" customHeight="1" x14ac:dyDescent="0.25">
      <c r="B23" s="143" t="s">
        <v>680</v>
      </c>
      <c r="C23" s="226"/>
      <c r="D23" s="226"/>
      <c r="E23" s="234"/>
      <c r="F23" s="226"/>
      <c r="G23" s="226"/>
      <c r="H23" s="234"/>
      <c r="I23" s="234"/>
      <c r="J23" s="234"/>
      <c r="K23" s="234"/>
      <c r="L23" s="234"/>
      <c r="M23" s="925"/>
      <c r="N23" s="309">
        <v>7.1257789999999996</v>
      </c>
      <c r="Q23" s="1005"/>
      <c r="R23" s="95"/>
    </row>
    <row r="24" spans="2:18" s="9" customFormat="1" ht="24.75" customHeight="1" x14ac:dyDescent="0.25">
      <c r="B24" s="374" t="s">
        <v>205</v>
      </c>
      <c r="C24" s="382">
        <f t="shared" ref="C24:L24" si="4">C22+C21+C20</f>
        <v>206.023</v>
      </c>
      <c r="D24" s="382">
        <f t="shared" si="4"/>
        <v>201.21100000000001</v>
      </c>
      <c r="E24" s="382">
        <f t="shared" si="4"/>
        <v>196.05100000000002</v>
      </c>
      <c r="F24" s="382">
        <f t="shared" si="4"/>
        <v>259.80799999999999</v>
      </c>
      <c r="G24" s="382">
        <f t="shared" si="4"/>
        <v>202.42899999999997</v>
      </c>
      <c r="H24" s="382">
        <f t="shared" si="4"/>
        <v>203.251</v>
      </c>
      <c r="I24" s="382">
        <f t="shared" si="4"/>
        <v>207.60493589999999</v>
      </c>
      <c r="J24" s="382">
        <f t="shared" si="4"/>
        <v>263.84100000000001</v>
      </c>
      <c r="K24" s="382">
        <f t="shared" si="4"/>
        <v>223.97399999999999</v>
      </c>
      <c r="L24" s="382">
        <f t="shared" si="4"/>
        <v>211.84800000000001</v>
      </c>
      <c r="M24" s="383">
        <f t="shared" ref="M24" si="5">M22+M21+M20</f>
        <v>211.23000000000002</v>
      </c>
      <c r="N24" s="384">
        <f>N22+N21+N20+N23</f>
        <v>255.77099999999999</v>
      </c>
      <c r="P24" s="39"/>
      <c r="Q24" s="1005"/>
      <c r="R24" s="95"/>
    </row>
    <row r="25" spans="2:18" s="9" customFormat="1" ht="24.75" customHeight="1" x14ac:dyDescent="0.25">
      <c r="B25" s="385" t="s">
        <v>129</v>
      </c>
      <c r="C25" s="386">
        <v>3.1720000000000002</v>
      </c>
      <c r="D25" s="386">
        <v>2.1745070000000002</v>
      </c>
      <c r="E25" s="386">
        <v>1.5662459999999996</v>
      </c>
      <c r="F25" s="386">
        <v>63.649000000000001</v>
      </c>
      <c r="G25" s="386">
        <v>9.6033038800000003</v>
      </c>
      <c r="H25" s="386">
        <v>4.2904095</v>
      </c>
      <c r="I25" s="386">
        <v>1.837108</v>
      </c>
      <c r="J25" s="386">
        <v>38.653692239999998</v>
      </c>
      <c r="K25" s="386">
        <v>2.4</v>
      </c>
      <c r="L25" s="386">
        <v>3.8</v>
      </c>
      <c r="M25" s="387">
        <v>4.8</v>
      </c>
      <c r="N25" s="388">
        <v>21.463821250000002</v>
      </c>
      <c r="Q25" s="1005"/>
    </row>
    <row r="26" spans="2:18" s="9" customFormat="1" ht="11.25" customHeight="1" x14ac:dyDescent="0.4">
      <c r="B26" s="329"/>
      <c r="C26" s="324"/>
      <c r="D26" s="324"/>
      <c r="E26" s="324"/>
      <c r="F26" s="324"/>
      <c r="G26" s="324"/>
      <c r="H26" s="324"/>
      <c r="I26" s="324"/>
      <c r="J26" s="324"/>
      <c r="K26" s="324"/>
      <c r="L26" s="324"/>
      <c r="M26" s="335"/>
      <c r="N26" s="330"/>
      <c r="Q26" s="1005"/>
    </row>
    <row r="27" spans="2:18" s="9" customFormat="1" ht="24.75" customHeight="1" x14ac:dyDescent="0.25">
      <c r="B27" s="345" t="s">
        <v>206</v>
      </c>
      <c r="C27" s="346">
        <v>370.76400000000007</v>
      </c>
      <c r="D27" s="346">
        <v>460.76699999999994</v>
      </c>
      <c r="E27" s="346">
        <v>457.13700000000006</v>
      </c>
      <c r="F27" s="346">
        <v>462.16399999999999</v>
      </c>
      <c r="G27" s="346">
        <v>389.44199999999989</v>
      </c>
      <c r="H27" s="346">
        <v>522.77100000000007</v>
      </c>
      <c r="I27" s="346">
        <v>501.1018661600001</v>
      </c>
      <c r="J27" s="346">
        <v>466.22299999999996</v>
      </c>
      <c r="K27" s="346">
        <v>425.48599999999999</v>
      </c>
      <c r="L27" s="346">
        <v>475.1280000000001</v>
      </c>
      <c r="M27" s="347">
        <v>437.20299999999997</v>
      </c>
      <c r="N27" s="348">
        <v>466.73494122898796</v>
      </c>
      <c r="Q27" s="1005"/>
      <c r="R27" s="95"/>
    </row>
    <row r="28" spans="2:18" s="9" customFormat="1" ht="13.2" customHeight="1" x14ac:dyDescent="0.4">
      <c r="B28" s="337"/>
      <c r="C28" s="338"/>
      <c r="D28" s="338"/>
      <c r="E28" s="338"/>
      <c r="F28" s="338"/>
      <c r="G28" s="338"/>
      <c r="H28" s="338"/>
      <c r="I28" s="338"/>
      <c r="J28" s="338"/>
      <c r="K28" s="338"/>
      <c r="L28" s="338"/>
      <c r="M28" s="339"/>
      <c r="N28" s="340"/>
      <c r="Q28" s="1005"/>
    </row>
    <row r="29" spans="2:18" s="19" customFormat="1" ht="24.75" customHeight="1" x14ac:dyDescent="0.25">
      <c r="B29" s="143" t="s">
        <v>27</v>
      </c>
      <c r="C29" s="226">
        <v>95.394000000000005</v>
      </c>
      <c r="D29" s="226">
        <v>283.02799999999996</v>
      </c>
      <c r="E29" s="234">
        <v>75.676999999999992</v>
      </c>
      <c r="F29" s="226">
        <v>104.504</v>
      </c>
      <c r="G29" s="226">
        <v>58.474000000000004</v>
      </c>
      <c r="H29" s="234">
        <v>43.260999999999996</v>
      </c>
      <c r="I29" s="234">
        <v>51.714784479999999</v>
      </c>
      <c r="J29" s="234">
        <v>127.18400000000001</v>
      </c>
      <c r="K29" s="234">
        <v>35.253</v>
      </c>
      <c r="L29" s="234">
        <v>93.966999999999999</v>
      </c>
      <c r="M29" s="925">
        <v>67.745000000000005</v>
      </c>
      <c r="N29" s="309">
        <v>91.804999999999993</v>
      </c>
      <c r="Q29" s="1005"/>
    </row>
    <row r="30" spans="2:18" s="19" customFormat="1" ht="24.75" customHeight="1" x14ac:dyDescent="0.25">
      <c r="B30" s="331" t="s">
        <v>724</v>
      </c>
      <c r="C30" s="325">
        <v>35.677000000000007</v>
      </c>
      <c r="D30" s="325">
        <v>68.966475719999991</v>
      </c>
      <c r="E30" s="332">
        <v>47.152999999999992</v>
      </c>
      <c r="F30" s="325">
        <v>24.976000000000006</v>
      </c>
      <c r="G30" s="325">
        <v>15.423</v>
      </c>
      <c r="H30" s="332">
        <v>19.857999999999997</v>
      </c>
      <c r="I30" s="332">
        <v>31.755784480000003</v>
      </c>
      <c r="J30" s="332">
        <v>15.779000000000012</v>
      </c>
      <c r="K30" s="332">
        <v>14.051887050000003</v>
      </c>
      <c r="L30" s="332">
        <v>49.821267639999995</v>
      </c>
      <c r="M30" s="926">
        <v>50.864216650000003</v>
      </c>
      <c r="N30" s="373">
        <v>33.110071969999993</v>
      </c>
      <c r="Q30" s="1005"/>
      <c r="R30" s="41"/>
    </row>
    <row r="31" spans="2:18" s="19" customFormat="1" ht="24.75" customHeight="1" x14ac:dyDescent="0.25">
      <c r="B31" s="331" t="s">
        <v>704</v>
      </c>
      <c r="C31" s="325">
        <v>20.760999999999999</v>
      </c>
      <c r="D31" s="325">
        <v>180.79911400999998</v>
      </c>
      <c r="E31" s="332">
        <v>0</v>
      </c>
      <c r="F31" s="325">
        <v>51.51</v>
      </c>
      <c r="G31" s="325">
        <v>12.14</v>
      </c>
      <c r="H31" s="332">
        <v>0</v>
      </c>
      <c r="I31" s="332">
        <v>0</v>
      </c>
      <c r="J31" s="332">
        <v>86.33</v>
      </c>
      <c r="K31" s="332">
        <v>0.44911295000000001</v>
      </c>
      <c r="L31" s="332">
        <v>24.955732359999999</v>
      </c>
      <c r="M31" s="926">
        <v>0.52778334999999998</v>
      </c>
      <c r="N31" s="373">
        <v>37.546928030000004</v>
      </c>
      <c r="Q31" s="1005"/>
    </row>
    <row r="32" spans="2:18" s="19" customFormat="1" ht="24.75" customHeight="1" x14ac:dyDescent="0.25">
      <c r="B32" s="331" t="s">
        <v>277</v>
      </c>
      <c r="C32" s="325">
        <v>26.088285000000003</v>
      </c>
      <c r="D32" s="325">
        <v>20.325688550000002</v>
      </c>
      <c r="E32" s="332">
        <v>17.27913315</v>
      </c>
      <c r="F32" s="325">
        <v>16.852737560000001</v>
      </c>
      <c r="G32" s="325">
        <v>20.556513000000002</v>
      </c>
      <c r="H32" s="332">
        <v>14.782999999999999</v>
      </c>
      <c r="I32" s="332">
        <v>11.299293</v>
      </c>
      <c r="J32" s="332">
        <v>15.120611999999999</v>
      </c>
      <c r="K32" s="332">
        <v>11.106499999999999</v>
      </c>
      <c r="L32" s="332">
        <v>10.156400000000001</v>
      </c>
      <c r="M32" s="926">
        <v>8.3701893700000021</v>
      </c>
      <c r="N32" s="373">
        <v>12.67141382</v>
      </c>
      <c r="Q32" s="1005"/>
    </row>
    <row r="33" spans="2:19" s="19" customFormat="1" ht="24.75" customHeight="1" x14ac:dyDescent="0.25">
      <c r="B33" s="331" t="s">
        <v>278</v>
      </c>
      <c r="C33" s="325">
        <v>12.867715</v>
      </c>
      <c r="D33" s="325">
        <v>12.93672172</v>
      </c>
      <c r="E33" s="332">
        <v>11.244866849999999</v>
      </c>
      <c r="F33" s="325">
        <v>11.165262439999999</v>
      </c>
      <c r="G33" s="325">
        <v>10.354487000000001</v>
      </c>
      <c r="H33" s="332">
        <v>8.6199999999999992</v>
      </c>
      <c r="I33" s="332">
        <v>8.6597069999999992</v>
      </c>
      <c r="J33" s="332">
        <v>9.9543879999999998</v>
      </c>
      <c r="K33" s="332">
        <v>9.6455000000000002</v>
      </c>
      <c r="L33" s="332">
        <v>9.0335999999999999</v>
      </c>
      <c r="M33" s="926">
        <v>7.9828106300000004</v>
      </c>
      <c r="N33" s="373">
        <v>8.47658618</v>
      </c>
      <c r="Q33" s="1005"/>
    </row>
    <row r="34" spans="2:19" s="19" customFormat="1" ht="24.75" customHeight="1" x14ac:dyDescent="0.25">
      <c r="B34" s="143" t="s">
        <v>725</v>
      </c>
      <c r="C34" s="226">
        <v>-0.27999999999999758</v>
      </c>
      <c r="D34" s="226">
        <v>20.293000000000006</v>
      </c>
      <c r="E34" s="234">
        <v>33.533999999999992</v>
      </c>
      <c r="F34" s="226">
        <v>29.743000000000002</v>
      </c>
      <c r="G34" s="226">
        <v>51.054000000000002</v>
      </c>
      <c r="H34" s="234">
        <v>3.2539999999999996</v>
      </c>
      <c r="I34" s="234">
        <v>8.1054410199999971</v>
      </c>
      <c r="J34" s="234">
        <v>110.273</v>
      </c>
      <c r="K34" s="234">
        <v>7.7969999999999997</v>
      </c>
      <c r="L34" s="234">
        <v>10.314</v>
      </c>
      <c r="M34" s="925">
        <v>18.817999999999998</v>
      </c>
      <c r="N34" s="309">
        <v>100.608</v>
      </c>
      <c r="Q34" s="1005"/>
    </row>
    <row r="35" spans="2:19" s="19" customFormat="1" ht="24.75" customHeight="1" x14ac:dyDescent="0.25">
      <c r="B35" s="331" t="s">
        <v>420</v>
      </c>
      <c r="C35" s="325">
        <v>0</v>
      </c>
      <c r="D35" s="325">
        <v>0</v>
      </c>
      <c r="E35" s="332">
        <v>0</v>
      </c>
      <c r="F35" s="325">
        <v>0</v>
      </c>
      <c r="G35" s="325">
        <v>0</v>
      </c>
      <c r="H35" s="332">
        <v>0</v>
      </c>
      <c r="I35" s="332">
        <v>0</v>
      </c>
      <c r="J35" s="332">
        <v>88.600999999999999</v>
      </c>
      <c r="K35" s="332">
        <v>-0.54234499999999997</v>
      </c>
      <c r="L35" s="332">
        <v>-2.4137309999999998</v>
      </c>
      <c r="M35" s="926">
        <v>26.804267000000003</v>
      </c>
      <c r="N35" s="373">
        <v>57.492507784198303</v>
      </c>
      <c r="Q35" s="1005"/>
    </row>
    <row r="36" spans="2:19" s="19" customFormat="1" ht="24.75" customHeight="1" x14ac:dyDescent="0.25">
      <c r="B36" s="374" t="s">
        <v>3</v>
      </c>
      <c r="C36" s="382">
        <v>254.37200000000004</v>
      </c>
      <c r="D36" s="382">
        <v>133.74999999999994</v>
      </c>
      <c r="E36" s="382">
        <v>379.35600000000005</v>
      </c>
      <c r="F36" s="382">
        <v>311.02099999999996</v>
      </c>
      <c r="G36" s="382">
        <v>324.9439999999999</v>
      </c>
      <c r="H36" s="382">
        <v>452.16000000000008</v>
      </c>
      <c r="I36" s="382">
        <v>432.61964066000007</v>
      </c>
      <c r="J36" s="382">
        <v>226.19599999999991</v>
      </c>
      <c r="K36" s="382">
        <v>382.43600000000004</v>
      </c>
      <c r="L36" s="382">
        <v>370.84700000000009</v>
      </c>
      <c r="M36" s="383">
        <v>350.64</v>
      </c>
      <c r="N36" s="384">
        <v>274.32194122898795</v>
      </c>
      <c r="Q36" s="1005"/>
      <c r="S36" s="57"/>
    </row>
    <row r="37" spans="2:19" s="59" customFormat="1" ht="24.75" customHeight="1" x14ac:dyDescent="0.25">
      <c r="B37" s="143" t="s">
        <v>6</v>
      </c>
      <c r="C37" s="226">
        <v>75.64</v>
      </c>
      <c r="D37" s="226">
        <v>14.627000000000001</v>
      </c>
      <c r="E37" s="234">
        <v>102.38800000000001</v>
      </c>
      <c r="F37" s="226">
        <v>99.454999999999998</v>
      </c>
      <c r="G37" s="226">
        <v>91.998000000000005</v>
      </c>
      <c r="H37" s="234">
        <v>120.983</v>
      </c>
      <c r="I37" s="234">
        <v>114.39580782999995</v>
      </c>
      <c r="J37" s="234">
        <v>42.829000000000001</v>
      </c>
      <c r="K37" s="234">
        <v>100.398</v>
      </c>
      <c r="L37" s="234">
        <v>96.962000000000003</v>
      </c>
      <c r="M37" s="925">
        <v>91.867999999999995</v>
      </c>
      <c r="N37" s="309">
        <v>26.966000000000001</v>
      </c>
      <c r="Q37" s="1005"/>
      <c r="S37" s="81"/>
    </row>
    <row r="38" spans="2:19" s="59" customFormat="1" ht="24.75" customHeight="1" x14ac:dyDescent="0.25">
      <c r="B38" s="389" t="s">
        <v>726</v>
      </c>
      <c r="C38" s="390">
        <v>75.64</v>
      </c>
      <c r="D38" s="390">
        <v>79.180905252499997</v>
      </c>
      <c r="E38" s="390">
        <v>102.38800000000001</v>
      </c>
      <c r="F38" s="390">
        <v>99.454999999999998</v>
      </c>
      <c r="G38" s="390">
        <v>110.8582381252</v>
      </c>
      <c r="H38" s="390">
        <v>118.76175007500001</v>
      </c>
      <c r="I38" s="390">
        <v>114.92856914999996</v>
      </c>
      <c r="J38" s="390">
        <v>104.7685607496</v>
      </c>
      <c r="K38" s="390">
        <v>101.06696270549999</v>
      </c>
      <c r="L38" s="390">
        <v>104.6011803944</v>
      </c>
      <c r="M38" s="391">
        <v>101.18629460149999</v>
      </c>
      <c r="N38" s="392">
        <v>60.751944548617502</v>
      </c>
      <c r="Q38" s="1005"/>
    </row>
    <row r="39" spans="2:19" s="59" customFormat="1" ht="24.75" customHeight="1" x14ac:dyDescent="0.25">
      <c r="B39" s="333" t="s">
        <v>207</v>
      </c>
      <c r="C39" s="226">
        <v>-1.0289999999999999</v>
      </c>
      <c r="D39" s="226">
        <v>-0.56000000000000005</v>
      </c>
      <c r="E39" s="234">
        <v>-0.41099999999999998</v>
      </c>
      <c r="F39" s="226">
        <v>0.32400000000000001</v>
      </c>
      <c r="G39" s="226">
        <v>-0.186</v>
      </c>
      <c r="H39" s="234">
        <v>1.17</v>
      </c>
      <c r="I39" s="234">
        <v>-0.1746048999999999</v>
      </c>
      <c r="J39" s="234">
        <v>-0.97</v>
      </c>
      <c r="K39" s="234">
        <v>-1.6850000000000001</v>
      </c>
      <c r="L39" s="234">
        <v>-1.621</v>
      </c>
      <c r="M39" s="925">
        <v>-1.925</v>
      </c>
      <c r="N39" s="309">
        <v>-2.831</v>
      </c>
      <c r="Q39" s="1005"/>
    </row>
    <row r="40" spans="2:19" ht="24.75" customHeight="1" x14ac:dyDescent="0.25">
      <c r="B40" s="349" t="s">
        <v>208</v>
      </c>
      <c r="C40" s="350">
        <v>179.76100000000002</v>
      </c>
      <c r="D40" s="350">
        <v>119.68299999999995</v>
      </c>
      <c r="E40" s="350">
        <v>277.37900000000008</v>
      </c>
      <c r="F40" s="350">
        <v>211.24199999999996</v>
      </c>
      <c r="G40" s="350">
        <v>233.13199999999992</v>
      </c>
      <c r="H40" s="350">
        <v>330.00700000000006</v>
      </c>
      <c r="I40" s="350">
        <v>318.39843773000013</v>
      </c>
      <c r="J40" s="350">
        <v>184.3369999999999</v>
      </c>
      <c r="K40" s="350">
        <v>283.72300000000001</v>
      </c>
      <c r="L40" s="350">
        <v>275.50600000000009</v>
      </c>
      <c r="M40" s="351">
        <v>260.697</v>
      </c>
      <c r="N40" s="352">
        <v>250.18694122898793</v>
      </c>
      <c r="Q40" s="1005"/>
    </row>
    <row r="41" spans="2:19" ht="24.75" customHeight="1" x14ac:dyDescent="0.25">
      <c r="B41" s="353" t="s">
        <v>132</v>
      </c>
      <c r="C41" s="354">
        <f>+(C40-52.5/4)/1249.995345</f>
        <v>0.13330929644381997</v>
      </c>
      <c r="D41" s="354">
        <f>+(D40-52.5/4)/1249.341331</f>
        <v>8.5291343010887671E-2</v>
      </c>
      <c r="E41" s="354">
        <f>+(E40-52.5/4)/1243.96483</f>
        <v>0.21242883530718476</v>
      </c>
      <c r="F41" s="354">
        <f>+(F40-52.5/4)/1245.122198</f>
        <v>0.15911450323368179</v>
      </c>
      <c r="G41" s="354">
        <f>+(G40-52.5/4)/1245.893686</f>
        <v>0.17658569304283314</v>
      </c>
      <c r="H41" s="354">
        <f>+(H40-52.5/4)/1245.212023</f>
        <v>0.25448035687654136</v>
      </c>
      <c r="I41" s="354">
        <f>+(I40-52.5/4)/1246.622609</f>
        <v>0.24488039565950157</v>
      </c>
      <c r="J41" s="354">
        <f>+(J40-52.5/4)/1246.037681</f>
        <v>0.13740515444331888</v>
      </c>
      <c r="K41" s="354">
        <f>+(K40-52.5/4)/1247.448117</f>
        <v>0.21692124611223412</v>
      </c>
      <c r="L41" s="354">
        <f>+(L40-52.5/4)/1247.575412</f>
        <v>0.21031273739146128</v>
      </c>
      <c r="M41" s="355">
        <f>+(M40-79.5/4)/1247.988213</f>
        <v>0.19296816868253547</v>
      </c>
      <c r="N41" s="356">
        <f>+(N40-20.4)/1230.028374</f>
        <v>0.18681434191776453</v>
      </c>
      <c r="Q41" s="1006"/>
    </row>
    <row r="42" spans="2:19" ht="24.75" customHeight="1" x14ac:dyDescent="0.25">
      <c r="B42" s="393" t="s">
        <v>209</v>
      </c>
      <c r="C42" s="394">
        <v>0</v>
      </c>
      <c r="D42" s="394">
        <v>0</v>
      </c>
      <c r="E42" s="394">
        <v>0</v>
      </c>
      <c r="F42" s="394">
        <v>0</v>
      </c>
      <c r="G42" s="394">
        <v>0</v>
      </c>
      <c r="H42" s="394">
        <v>0</v>
      </c>
      <c r="I42" s="394">
        <v>0</v>
      </c>
      <c r="J42" s="394">
        <v>0</v>
      </c>
      <c r="K42" s="394">
        <v>0</v>
      </c>
      <c r="L42" s="394">
        <v>0</v>
      </c>
      <c r="M42" s="395">
        <v>0</v>
      </c>
      <c r="N42" s="396">
        <v>0</v>
      </c>
      <c r="Q42" s="1005"/>
    </row>
    <row r="43" spans="2:19" ht="24.75" customHeight="1" x14ac:dyDescent="0.25">
      <c r="B43" s="397" t="s">
        <v>210</v>
      </c>
      <c r="C43" s="398">
        <v>0</v>
      </c>
      <c r="D43" s="398">
        <v>0</v>
      </c>
      <c r="E43" s="398">
        <v>0</v>
      </c>
      <c r="F43" s="398">
        <v>0</v>
      </c>
      <c r="G43" s="398">
        <v>0</v>
      </c>
      <c r="H43" s="398">
        <v>0</v>
      </c>
      <c r="I43" s="398">
        <v>0</v>
      </c>
      <c r="J43" s="398">
        <v>0</v>
      </c>
      <c r="K43" s="398">
        <v>0</v>
      </c>
      <c r="L43" s="398">
        <v>0</v>
      </c>
      <c r="M43" s="399">
        <v>0</v>
      </c>
      <c r="N43" s="400">
        <v>0</v>
      </c>
      <c r="Q43" s="1005"/>
    </row>
    <row r="44" spans="2:19" ht="11.25" customHeight="1" x14ac:dyDescent="0.25">
      <c r="B44" s="308"/>
      <c r="C44" s="265"/>
      <c r="D44" s="265"/>
      <c r="E44" s="265"/>
      <c r="F44" s="265"/>
      <c r="G44" s="265"/>
      <c r="H44" s="265"/>
      <c r="I44" s="265"/>
      <c r="J44" s="265"/>
      <c r="K44" s="265"/>
      <c r="L44" s="265"/>
      <c r="M44" s="336"/>
      <c r="N44" s="334"/>
      <c r="Q44" s="1005"/>
    </row>
    <row r="45" spans="2:19" ht="27" customHeight="1" x14ac:dyDescent="0.25">
      <c r="B45" s="357" t="s">
        <v>190</v>
      </c>
      <c r="C45" s="358">
        <f>+C40+C31+C25-C16-C18-C15</f>
        <v>195.42000000000002</v>
      </c>
      <c r="D45" s="358">
        <f t="shared" ref="D45:I45" si="6">+D40+D31+D25-D16-D18-D38+D37-D15</f>
        <v>205.33071575749997</v>
      </c>
      <c r="E45" s="358">
        <f t="shared" si="6"/>
        <v>297.08524600000004</v>
      </c>
      <c r="F45" s="358">
        <f t="shared" si="6"/>
        <v>284.67999999999995</v>
      </c>
      <c r="G45" s="358">
        <f t="shared" si="6"/>
        <v>307.09306575479997</v>
      </c>
      <c r="H45" s="358">
        <f t="shared" si="6"/>
        <v>305.34376742500007</v>
      </c>
      <c r="I45" s="358">
        <f t="shared" si="6"/>
        <v>296.39807457000018</v>
      </c>
      <c r="J45" s="358">
        <f>+J40+J31+J35+J25-J16-J18-J38+J37-J15</f>
        <v>286.78713149039993</v>
      </c>
      <c r="K45" s="358">
        <f>+K40+K31+K35+K25-K16-K18-K38+K37-K15</f>
        <v>276.57580524450003</v>
      </c>
      <c r="L45" s="358">
        <f>+L40+L31+L35+L25-L16-L18-L38+L37-L15</f>
        <v>246.33082096560014</v>
      </c>
      <c r="M45" s="359">
        <f>+M40+M31+M35+M25-M16-M18-M38+M37-M15</f>
        <v>270.17275574849998</v>
      </c>
      <c r="N45" s="360">
        <f>+N40+N31+N35+N25-N16-N18-N38+N37-N15</f>
        <v>293.74430651558089</v>
      </c>
      <c r="Q45" s="1005"/>
    </row>
    <row r="46" spans="2:19" ht="27" customHeight="1" x14ac:dyDescent="0.25">
      <c r="B46" s="361" t="s">
        <v>130</v>
      </c>
      <c r="C46" s="362">
        <f>+(C45-52.5/4)/1249.995345</f>
        <v>0.14583654309528649</v>
      </c>
      <c r="D46" s="362">
        <f>+(D45-52.5/4)/1249.341331</f>
        <v>0.1538456392887077</v>
      </c>
      <c r="E46" s="362">
        <f>+(E45-52.5/4)/1243.96483</f>
        <v>0.22827031693492497</v>
      </c>
      <c r="F46" s="362">
        <f>+(F45-52.5/4)/1245.122198</f>
        <v>0.21809505961438166</v>
      </c>
      <c r="G46" s="362">
        <f>+(G45-52.5/4)/1245.893686</f>
        <v>0.23594955898572553</v>
      </c>
      <c r="H46" s="362">
        <f>+(H45-52.5/4)/1245.212023</f>
        <v>0.23467390454597309</v>
      </c>
      <c r="I46" s="362">
        <f>+(I45-52.5/4)/1246.622609</f>
        <v>0.22723242184515857</v>
      </c>
      <c r="J46" s="362">
        <f>+(J45-52.5/4)/1246.037681</f>
        <v>0.21962588745371972</v>
      </c>
      <c r="K46" s="362">
        <f>+(K45-52.5/4)/1247.448117</f>
        <v>0.21119179359384938</v>
      </c>
      <c r="L46" s="362">
        <f>+(L45-52.5/4)/1247.575412</f>
        <v>0.18692723399521452</v>
      </c>
      <c r="M46" s="363">
        <f>+(M45-79.5/4)/1247.988213</f>
        <v>0.2005609933981804</v>
      </c>
      <c r="N46" s="364">
        <f>+(N45-20.4)/1230.028374</f>
        <v>0.22222601713379736</v>
      </c>
      <c r="Q46" s="1005"/>
    </row>
    <row r="47" spans="2:19" ht="27" customHeight="1" x14ac:dyDescent="0.25">
      <c r="B47" s="365" t="s">
        <v>713</v>
      </c>
      <c r="C47" s="366">
        <f t="shared" ref="C47:N47" si="7">+C45+C16-C19+C15</f>
        <v>203.69400000000002</v>
      </c>
      <c r="D47" s="366">
        <f t="shared" si="7"/>
        <v>238.10271575749996</v>
      </c>
      <c r="E47" s="366">
        <f t="shared" si="7"/>
        <v>278.94524600000005</v>
      </c>
      <c r="F47" s="366">
        <f t="shared" si="7"/>
        <v>326.40099999999995</v>
      </c>
      <c r="G47" s="366">
        <f t="shared" si="7"/>
        <v>279.30706575479996</v>
      </c>
      <c r="H47" s="366">
        <f t="shared" si="7"/>
        <v>324.56876742500009</v>
      </c>
      <c r="I47" s="366">
        <f t="shared" si="7"/>
        <v>319.70278441000011</v>
      </c>
      <c r="J47" s="366">
        <f t="shared" si="7"/>
        <v>335.98213149039992</v>
      </c>
      <c r="K47" s="366">
        <f t="shared" si="7"/>
        <v>285.3608052445</v>
      </c>
      <c r="L47" s="366">
        <f t="shared" si="7"/>
        <v>294.20882096560013</v>
      </c>
      <c r="M47" s="367">
        <f>+M45+M16-M19+M15</f>
        <v>283.5107557485</v>
      </c>
      <c r="N47" s="368">
        <f t="shared" si="7"/>
        <v>332.9042537445689</v>
      </c>
      <c r="Q47" s="1005"/>
    </row>
    <row r="48" spans="2:19" ht="27" customHeight="1" x14ac:dyDescent="0.25">
      <c r="B48" s="369" t="s">
        <v>131</v>
      </c>
      <c r="C48" s="370">
        <f>+(C47-52.5/4)/1249.995345</f>
        <v>0.15245576774527908</v>
      </c>
      <c r="D48" s="370">
        <f>+(D47-52.5/4)/1249.341331</f>
        <v>0.18007706154844241</v>
      </c>
      <c r="E48" s="370">
        <f>+(E47-52.5/4)/1243.96483</f>
        <v>0.21368791109632904</v>
      </c>
      <c r="F48" s="370">
        <f>+(F47-52.5/4)/1245.122198</f>
        <v>0.25160261418775215</v>
      </c>
      <c r="G48" s="370">
        <f>+(G47-52.5/4)/1245.893686</f>
        <v>0.21364749556552451</v>
      </c>
      <c r="H48" s="370">
        <f>+(H47-52.5/4)/1245.212023</f>
        <v>0.25011304233528114</v>
      </c>
      <c r="I48" s="370">
        <f>+(I47-52.5/4)/1246.622609</f>
        <v>0.24592670002666389</v>
      </c>
      <c r="J48" s="370">
        <f>+(J47-52.5/4)/1246.037681</f>
        <v>0.25910703698085025</v>
      </c>
      <c r="K48" s="370">
        <f>+(K47-52.5/4)/1247.481174</f>
        <v>0.218228387665031</v>
      </c>
      <c r="L48" s="370">
        <f>+(L47-52.5/4)/1247.575412</f>
        <v>0.22530407241273856</v>
      </c>
      <c r="M48" s="371">
        <f>+(M47-79.5/4)/1247.988213</f>
        <v>0.21124859433948837</v>
      </c>
      <c r="N48" s="372">
        <f>+(N47-20.4)/1230.028374</f>
        <v>0.25406263818802682</v>
      </c>
      <c r="Q48" s="1005"/>
    </row>
    <row r="49" spans="2:15" ht="11.25" customHeight="1" x14ac:dyDescent="0.25">
      <c r="B49" s="265"/>
      <c r="C49" s="265"/>
      <c r="D49" s="265"/>
      <c r="E49" s="265"/>
      <c r="F49" s="265"/>
      <c r="G49" s="265"/>
      <c r="H49" s="265"/>
      <c r="I49" s="265"/>
      <c r="J49" s="265"/>
      <c r="K49" s="265"/>
      <c r="L49" s="265"/>
      <c r="M49" s="265"/>
      <c r="N49" s="265"/>
    </row>
    <row r="50" spans="2:15" ht="19.5" customHeight="1" x14ac:dyDescent="0.25">
      <c r="B50" s="116" t="s">
        <v>254</v>
      </c>
      <c r="C50" s="265"/>
      <c r="D50" s="265"/>
      <c r="E50" s="265"/>
      <c r="F50" s="265"/>
      <c r="G50" s="265"/>
      <c r="H50" s="265"/>
      <c r="I50" s="265"/>
      <c r="J50" s="265"/>
      <c r="K50" s="265"/>
      <c r="L50" s="265"/>
      <c r="M50" s="265"/>
      <c r="N50" s="265"/>
    </row>
    <row r="51" spans="2:15" ht="19.5" customHeight="1" x14ac:dyDescent="0.25">
      <c r="B51" s="1050" t="s">
        <v>685</v>
      </c>
      <c r="C51" s="1050"/>
      <c r="D51" s="49"/>
      <c r="E51" s="49"/>
      <c r="F51" s="49"/>
      <c r="G51" s="49"/>
      <c r="H51" s="49"/>
      <c r="I51" s="49"/>
      <c r="J51" s="49"/>
      <c r="K51" s="49"/>
      <c r="L51" s="49"/>
      <c r="M51" s="49"/>
      <c r="N51" s="49"/>
    </row>
    <row r="53" spans="2:15" x14ac:dyDescent="0.25">
      <c r="C53" s="1"/>
      <c r="D53" s="1"/>
      <c r="E53" s="1"/>
      <c r="F53" s="1"/>
      <c r="G53" s="1"/>
      <c r="H53" s="1"/>
      <c r="I53" s="1"/>
      <c r="J53" s="1"/>
      <c r="K53" s="1"/>
      <c r="L53" s="1"/>
      <c r="M53" s="1"/>
      <c r="N53" s="1"/>
    </row>
    <row r="54" spans="2:15" x14ac:dyDescent="0.25">
      <c r="C54" s="49"/>
      <c r="D54" s="49"/>
      <c r="E54" s="49"/>
      <c r="F54" s="49"/>
      <c r="G54" s="49"/>
      <c r="H54" s="49"/>
      <c r="I54" s="49"/>
      <c r="J54" s="49"/>
      <c r="K54" s="49"/>
      <c r="L54" s="49"/>
      <c r="M54" s="49"/>
      <c r="N54" s="49"/>
      <c r="O54" s="49"/>
    </row>
  </sheetData>
  <mergeCells count="2">
    <mergeCell ref="B5:N5"/>
    <mergeCell ref="B51:C51"/>
  </mergeCells>
  <hyperlinks>
    <hyperlink ref="N2" location="'Cover '!A1" display="Back to Cover" xr:uid="{00000000-0004-0000-0200-000000000000}"/>
  </hyperlinks>
  <printOptions horizontalCentered="1" verticalCentered="1"/>
  <pageMargins left="0" right="0" top="0" bottom="0" header="0" footer="0"/>
  <pageSetup paperSize="8" scale="71" orientation="landscape" r:id="rId1"/>
  <headerFooter alignWithMargins="0"/>
  <ignoredErrors>
    <ignoredError sqref="C47:J47 L47:N47" formula="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7C4D89-02BE-4DCE-9264-F2EBBCDAE79D}">
  <sheetPr>
    <pageSetUpPr fitToPage="1"/>
  </sheetPr>
  <dimension ref="A1:S51"/>
  <sheetViews>
    <sheetView showGridLines="0" view="pageBreakPreview" zoomScale="85" zoomScaleNormal="90" zoomScaleSheetLayoutView="85" workbookViewId="0">
      <selection activeCell="N16" sqref="N16:N21"/>
    </sheetView>
  </sheetViews>
  <sheetFormatPr defaultColWidth="9.109375" defaultRowHeight="15.6" x14ac:dyDescent="0.25"/>
  <cols>
    <col min="1" max="1" width="2.44140625" style="6" customWidth="1"/>
    <col min="2" max="2" width="52.6640625" style="6" customWidth="1"/>
    <col min="3" max="14" width="15.88671875" style="6" customWidth="1"/>
    <col min="15" max="15" width="2.44140625" style="6" customWidth="1"/>
    <col min="16" max="16384" width="9.109375" style="6"/>
  </cols>
  <sheetData>
    <row r="1" spans="1:19" ht="15.75" customHeight="1" x14ac:dyDescent="0.25"/>
    <row r="2" spans="1:19" ht="15.75" customHeight="1" x14ac:dyDescent="0.25">
      <c r="B2" s="112"/>
      <c r="C2" s="115"/>
      <c r="D2" s="115"/>
      <c r="E2" s="115"/>
      <c r="F2" s="115"/>
      <c r="G2" s="115"/>
      <c r="H2" s="115"/>
      <c r="I2" s="115"/>
      <c r="J2" s="115"/>
      <c r="K2" s="115"/>
      <c r="L2" s="115"/>
      <c r="M2" s="115"/>
      <c r="N2" s="114" t="s">
        <v>18</v>
      </c>
    </row>
    <row r="3" spans="1:19" ht="15.75" customHeight="1" x14ac:dyDescent="0.25">
      <c r="B3" s="112"/>
      <c r="C3" s="112"/>
      <c r="D3" s="112"/>
      <c r="E3" s="112"/>
      <c r="F3" s="112"/>
      <c r="G3" s="112"/>
      <c r="H3" s="112"/>
      <c r="I3" s="112"/>
      <c r="J3" s="112"/>
      <c r="K3" s="112"/>
      <c r="L3" s="112"/>
      <c r="M3" s="112"/>
      <c r="N3" s="112"/>
    </row>
    <row r="4" spans="1:19" ht="15.75" customHeight="1" x14ac:dyDescent="0.25">
      <c r="B4" s="112"/>
      <c r="C4" s="112"/>
      <c r="D4" s="112"/>
      <c r="E4" s="112"/>
      <c r="F4" s="112"/>
      <c r="G4" s="112"/>
      <c r="H4" s="112"/>
      <c r="I4" s="112"/>
      <c r="J4" s="112"/>
      <c r="K4" s="112"/>
      <c r="L4" s="112"/>
      <c r="M4" s="112"/>
      <c r="N4" s="112"/>
    </row>
    <row r="5" spans="1:19" s="17" customFormat="1" ht="27.6" x14ac:dyDescent="0.25">
      <c r="A5" s="16"/>
      <c r="B5" s="1044" t="s">
        <v>108</v>
      </c>
      <c r="C5" s="1049"/>
      <c r="D5" s="1049"/>
      <c r="E5" s="1049"/>
      <c r="F5" s="1049"/>
      <c r="G5" s="1049"/>
      <c r="H5" s="1049"/>
      <c r="I5" s="1049"/>
      <c r="J5" s="1049"/>
      <c r="K5" s="1049"/>
      <c r="L5" s="1049"/>
      <c r="M5" s="1049"/>
      <c r="N5" s="1049"/>
    </row>
    <row r="6" spans="1:19" s="17" customFormat="1" ht="9" customHeight="1" x14ac:dyDescent="0.25">
      <c r="A6" s="16"/>
      <c r="B6" s="18"/>
    </row>
    <row r="7" spans="1:19" s="17" customFormat="1" ht="15.75" customHeight="1" x14ac:dyDescent="0.25">
      <c r="A7" s="18"/>
      <c r="B7" s="21"/>
    </row>
    <row r="8" spans="1:19" ht="15" customHeight="1" x14ac:dyDescent="0.25">
      <c r="F8" s="722"/>
      <c r="G8" s="722"/>
      <c r="H8" s="722"/>
      <c r="I8" s="722"/>
      <c r="J8" s="722"/>
      <c r="K8" s="722"/>
      <c r="L8" s="722"/>
      <c r="M8" s="722"/>
      <c r="N8" s="722"/>
    </row>
    <row r="9" spans="1:19" s="7" customFormat="1" ht="33.75" customHeight="1" x14ac:dyDescent="0.25">
      <c r="B9" s="341" t="s">
        <v>0</v>
      </c>
      <c r="C9" s="342" t="s">
        <v>154</v>
      </c>
      <c r="D9" s="342" t="s">
        <v>157</v>
      </c>
      <c r="E9" s="342" t="s">
        <v>165</v>
      </c>
      <c r="F9" s="342" t="s">
        <v>268</v>
      </c>
      <c r="G9" s="342" t="s">
        <v>274</v>
      </c>
      <c r="H9" s="342" t="s">
        <v>360</v>
      </c>
      <c r="I9" s="342" t="s">
        <v>397</v>
      </c>
      <c r="J9" s="342" t="s">
        <v>416</v>
      </c>
      <c r="K9" s="342" t="s">
        <v>446</v>
      </c>
      <c r="L9" s="342" t="s">
        <v>455</v>
      </c>
      <c r="M9" s="343" t="s">
        <v>496</v>
      </c>
      <c r="N9" s="344" t="s">
        <v>559</v>
      </c>
    </row>
    <row r="10" spans="1:19" s="9" customFormat="1" ht="24.75" customHeight="1" x14ac:dyDescent="0.25">
      <c r="B10" s="143" t="s">
        <v>211</v>
      </c>
      <c r="C10" s="401">
        <v>410.64699999999993</v>
      </c>
      <c r="D10" s="401">
        <v>454.39199999999983</v>
      </c>
      <c r="E10" s="403">
        <v>497.47399999999993</v>
      </c>
      <c r="F10" s="401">
        <v>511.30700000000013</v>
      </c>
      <c r="G10" s="401">
        <v>502.97947991000001</v>
      </c>
      <c r="H10" s="403">
        <v>516.82432579000022</v>
      </c>
      <c r="I10" s="403">
        <v>522.33644699999979</v>
      </c>
      <c r="J10" s="403">
        <v>506.60793783999998</v>
      </c>
      <c r="K10" s="403">
        <v>468.33464606999991</v>
      </c>
      <c r="L10" s="403">
        <v>452.43089954999988</v>
      </c>
      <c r="M10" s="927">
        <v>437.39316805999977</v>
      </c>
      <c r="N10" s="404">
        <v>440.88245714999988</v>
      </c>
      <c r="Q10" s="40"/>
      <c r="R10" s="40"/>
      <c r="S10" s="40"/>
    </row>
    <row r="11" spans="1:19" s="9" customFormat="1" ht="24.75" customHeight="1" x14ac:dyDescent="0.25">
      <c r="B11" s="143" t="s">
        <v>212</v>
      </c>
      <c r="C11" s="401">
        <v>77.10452746</v>
      </c>
      <c r="D11" s="401">
        <v>72.456081470000001</v>
      </c>
      <c r="E11" s="403">
        <v>79.94187721000003</v>
      </c>
      <c r="F11" s="401">
        <v>87.338570519999919</v>
      </c>
      <c r="G11" s="401">
        <v>88.541939920000004</v>
      </c>
      <c r="H11" s="403">
        <v>106.30362873000001</v>
      </c>
      <c r="I11" s="403">
        <v>111.7758449</v>
      </c>
      <c r="J11" s="403">
        <v>118.34205895000002</v>
      </c>
      <c r="K11" s="403">
        <v>122.01473585000002</v>
      </c>
      <c r="L11" s="403">
        <v>126.37704643999999</v>
      </c>
      <c r="M11" s="927">
        <v>129.91090534999995</v>
      </c>
      <c r="N11" s="404">
        <v>134.5397249000001</v>
      </c>
      <c r="P11" s="40"/>
      <c r="Q11" s="40"/>
      <c r="R11" s="40"/>
    </row>
    <row r="12" spans="1:19" s="9" customFormat="1" ht="24.75" customHeight="1" x14ac:dyDescent="0.25">
      <c r="B12" s="143" t="s">
        <v>213</v>
      </c>
      <c r="C12" s="401">
        <v>28.620229609999999</v>
      </c>
      <c r="D12" s="401">
        <v>53.407572030000011</v>
      </c>
      <c r="E12" s="403">
        <v>63.123262740000001</v>
      </c>
      <c r="F12" s="401">
        <v>63.817700949999988</v>
      </c>
      <c r="G12" s="401">
        <v>70.264778890000002</v>
      </c>
      <c r="H12" s="403">
        <v>63.447242189999997</v>
      </c>
      <c r="I12" s="403">
        <v>50.081623330000014</v>
      </c>
      <c r="J12" s="403">
        <v>44.391571049999953</v>
      </c>
      <c r="K12" s="403">
        <v>44.933600640000002</v>
      </c>
      <c r="L12" s="403">
        <v>39.562176659999999</v>
      </c>
      <c r="M12" s="927">
        <v>41.433475319999992</v>
      </c>
      <c r="N12" s="404">
        <v>38.774646490000002</v>
      </c>
      <c r="P12" s="40"/>
      <c r="Q12" s="40"/>
      <c r="R12" s="40"/>
    </row>
    <row r="13" spans="1:19" s="9" customFormat="1" ht="24.75" customHeight="1" x14ac:dyDescent="0.25">
      <c r="B13" s="143" t="s">
        <v>214</v>
      </c>
      <c r="C13" s="401">
        <v>64.801649500000124</v>
      </c>
      <c r="D13" s="401">
        <v>89.9461821000002</v>
      </c>
      <c r="E13" s="403">
        <v>120.41568600999999</v>
      </c>
      <c r="F13" s="401">
        <v>124.57918938999954</v>
      </c>
      <c r="G13" s="401">
        <v>119.0223414299998</v>
      </c>
      <c r="H13" s="403">
        <v>114.18100776000004</v>
      </c>
      <c r="I13" s="403">
        <v>93.21856692000064</v>
      </c>
      <c r="J13" s="403">
        <v>79.831227029999738</v>
      </c>
      <c r="K13" s="403">
        <v>56.731240330000205</v>
      </c>
      <c r="L13" s="403">
        <v>39.99191153000028</v>
      </c>
      <c r="M13" s="927">
        <v>44.963460179999828</v>
      </c>
      <c r="N13" s="404">
        <v>51.383599419999555</v>
      </c>
      <c r="P13" s="40"/>
      <c r="Q13" s="40"/>
      <c r="R13" s="40"/>
    </row>
    <row r="14" spans="1:19" s="9" customFormat="1" ht="24.75" customHeight="1" x14ac:dyDescent="0.25">
      <c r="B14" s="374" t="s">
        <v>215</v>
      </c>
      <c r="C14" s="375">
        <f t="shared" ref="C14:M14" si="0">C10+C11+C13+C12</f>
        <v>581.17340657000011</v>
      </c>
      <c r="D14" s="375">
        <f t="shared" si="0"/>
        <v>670.20183559999998</v>
      </c>
      <c r="E14" s="375">
        <f t="shared" si="0"/>
        <v>760.95482595999988</v>
      </c>
      <c r="F14" s="375">
        <f t="shared" si="0"/>
        <v>787.04246085999966</v>
      </c>
      <c r="G14" s="375">
        <f t="shared" si="0"/>
        <v>780.80854014999977</v>
      </c>
      <c r="H14" s="375">
        <f t="shared" si="0"/>
        <v>800.75620447000028</v>
      </c>
      <c r="I14" s="375">
        <f t="shared" si="0"/>
        <v>777.41248215000041</v>
      </c>
      <c r="J14" s="375">
        <f t="shared" si="0"/>
        <v>749.17279486999962</v>
      </c>
      <c r="K14" s="375">
        <f t="shared" si="0"/>
        <v>692.01422289000016</v>
      </c>
      <c r="L14" s="375">
        <f t="shared" si="0"/>
        <v>658.36203418000014</v>
      </c>
      <c r="M14" s="376">
        <f t="shared" si="0"/>
        <v>653.70100890999959</v>
      </c>
      <c r="N14" s="377">
        <f>N10+N11+N13+N12</f>
        <v>665.5804279599995</v>
      </c>
    </row>
    <row r="15" spans="1:19" s="9" customFormat="1" ht="17.25" customHeight="1" x14ac:dyDescent="0.25">
      <c r="B15" s="143"/>
      <c r="C15" s="402"/>
      <c r="D15" s="402"/>
      <c r="E15" s="405"/>
      <c r="F15" s="402"/>
      <c r="G15" s="402"/>
      <c r="H15" s="405"/>
      <c r="I15" s="405"/>
      <c r="J15" s="405"/>
      <c r="K15" s="405"/>
      <c r="L15" s="405"/>
      <c r="M15" s="928"/>
      <c r="N15" s="406"/>
    </row>
    <row r="16" spans="1:19" s="9" customFormat="1" ht="24.75" customHeight="1" x14ac:dyDescent="0.25">
      <c r="B16" s="143" t="s">
        <v>216</v>
      </c>
      <c r="C16" s="401">
        <v>32.772462070000003</v>
      </c>
      <c r="D16" s="401">
        <v>52.686348440000003</v>
      </c>
      <c r="E16" s="403">
        <v>70.288956289999987</v>
      </c>
      <c r="F16" s="401">
        <v>76.45771981</v>
      </c>
      <c r="G16" s="401">
        <v>78.356409669999991</v>
      </c>
      <c r="H16" s="403">
        <v>80.442876220000002</v>
      </c>
      <c r="I16" s="403">
        <v>83.960834339999977</v>
      </c>
      <c r="J16" s="403">
        <v>85.223943320000018</v>
      </c>
      <c r="K16" s="403">
        <v>79.454660869999998</v>
      </c>
      <c r="L16" s="403">
        <v>67.691612049999989</v>
      </c>
      <c r="M16" s="927">
        <v>62.771050900000006</v>
      </c>
      <c r="N16" s="404">
        <v>63.36341494000002</v>
      </c>
    </row>
    <row r="17" spans="2:17" s="9" customFormat="1" ht="24.75" customHeight="1" x14ac:dyDescent="0.25">
      <c r="B17" s="143" t="s">
        <v>217</v>
      </c>
      <c r="C17" s="401">
        <v>45.533054969999995</v>
      </c>
      <c r="D17" s="401">
        <v>67.329734680000016</v>
      </c>
      <c r="E17" s="403">
        <v>83.904905139999983</v>
      </c>
      <c r="F17" s="401">
        <v>88.776219090000012</v>
      </c>
      <c r="G17" s="401">
        <v>75.349431469999999</v>
      </c>
      <c r="H17" s="403">
        <v>74.853258679999996</v>
      </c>
      <c r="I17" s="403">
        <v>44.902288939999991</v>
      </c>
      <c r="J17" s="403">
        <v>38.968236330000011</v>
      </c>
      <c r="K17" s="403">
        <v>27.055253610000001</v>
      </c>
      <c r="L17" s="403">
        <v>21.65973322</v>
      </c>
      <c r="M17" s="927">
        <v>21.889631810000004</v>
      </c>
      <c r="N17" s="404">
        <v>24.940873379999999</v>
      </c>
    </row>
    <row r="18" spans="2:17" s="9" customFormat="1" ht="24.75" customHeight="1" x14ac:dyDescent="0.25">
      <c r="B18" s="143" t="s">
        <v>218</v>
      </c>
      <c r="C18" s="401">
        <v>29.043533120000003</v>
      </c>
      <c r="D18" s="401">
        <v>29.602520509999998</v>
      </c>
      <c r="E18" s="403">
        <v>37.444393680000005</v>
      </c>
      <c r="F18" s="401">
        <v>41.672792670000007</v>
      </c>
      <c r="G18" s="401">
        <v>48.508272179999999</v>
      </c>
      <c r="H18" s="403">
        <v>54.31663463000001</v>
      </c>
      <c r="I18" s="403">
        <v>60.259388629999997</v>
      </c>
      <c r="J18" s="403">
        <v>65.276742829999989</v>
      </c>
      <c r="K18" s="403">
        <v>64.287361050000015</v>
      </c>
      <c r="L18" s="403">
        <v>64.912942420000007</v>
      </c>
      <c r="M18" s="927">
        <v>68.200284110000013</v>
      </c>
      <c r="N18" s="404">
        <v>69.856048129999976</v>
      </c>
    </row>
    <row r="19" spans="2:17" s="9" customFormat="1" ht="24.75" customHeight="1" x14ac:dyDescent="0.25">
      <c r="B19" s="143" t="s">
        <v>219</v>
      </c>
      <c r="C19" s="401">
        <v>12.38514004</v>
      </c>
      <c r="D19" s="401">
        <v>18.820755200000004</v>
      </c>
      <c r="E19" s="403">
        <v>24.75945668999999</v>
      </c>
      <c r="F19" s="401">
        <v>26.422295880000007</v>
      </c>
      <c r="G19" s="401">
        <v>26.385850989999994</v>
      </c>
      <c r="H19" s="403">
        <v>28.732993320000006</v>
      </c>
      <c r="I19" s="403">
        <v>27.719322949999984</v>
      </c>
      <c r="J19" s="403">
        <v>25.658709730000012</v>
      </c>
      <c r="K19" s="403">
        <v>28.106815510000001</v>
      </c>
      <c r="L19" s="403">
        <v>28.194147700000059</v>
      </c>
      <c r="M19" s="927">
        <v>31.158057820000185</v>
      </c>
      <c r="N19" s="404">
        <v>32.323072670000087</v>
      </c>
    </row>
    <row r="20" spans="2:17" s="9" customFormat="1" ht="24.75" customHeight="1" x14ac:dyDescent="0.25">
      <c r="B20" s="143" t="s">
        <v>538</v>
      </c>
      <c r="C20" s="401"/>
      <c r="D20" s="401"/>
      <c r="E20" s="403"/>
      <c r="F20" s="401">
        <v>4.1218190000000003</v>
      </c>
      <c r="G20" s="401">
        <v>21.436</v>
      </c>
      <c r="H20" s="403">
        <v>22.091000000000001</v>
      </c>
      <c r="I20" s="403">
        <v>18.28</v>
      </c>
      <c r="J20" s="403">
        <v>7.71</v>
      </c>
      <c r="K20" s="403">
        <v>-0.81499999999999995</v>
      </c>
      <c r="L20" s="403">
        <v>-10.716147510000061</v>
      </c>
      <c r="M20" s="927">
        <v>-14.584107230000182</v>
      </c>
      <c r="N20" s="404">
        <v>-14.971562420000074</v>
      </c>
    </row>
    <row r="21" spans="2:17" ht="24.75" customHeight="1" x14ac:dyDescent="0.25">
      <c r="B21" s="143" t="s">
        <v>220</v>
      </c>
      <c r="C21" s="401">
        <v>14.572365080000008</v>
      </c>
      <c r="D21" s="401">
        <v>13.96302617000001</v>
      </c>
      <c r="E21" s="403">
        <v>13.206603949999998</v>
      </c>
      <c r="F21" s="401">
        <v>12.946861139999907</v>
      </c>
      <c r="G21" s="401">
        <v>13.143638280000051</v>
      </c>
      <c r="H21" s="403">
        <v>12.761573479999914</v>
      </c>
      <c r="I21" s="403">
        <v>12.785316060000039</v>
      </c>
      <c r="J21" s="403">
        <v>12.820602309999973</v>
      </c>
      <c r="K21" s="403">
        <v>12.972413059999976</v>
      </c>
      <c r="L21" s="403">
        <v>13.054289910000016</v>
      </c>
      <c r="M21" s="927">
        <v>13.035290459999981</v>
      </c>
      <c r="N21" s="404">
        <v>13.217580560000012</v>
      </c>
    </row>
    <row r="22" spans="2:17" s="9" customFormat="1" ht="24.75" customHeight="1" x14ac:dyDescent="0.25">
      <c r="B22" s="374" t="s">
        <v>221</v>
      </c>
      <c r="C22" s="375">
        <f t="shared" ref="C22:L22" si="1">SUM(C16:C21)</f>
        <v>134.30655528</v>
      </c>
      <c r="D22" s="375">
        <f t="shared" si="1"/>
        <v>182.40238500000004</v>
      </c>
      <c r="E22" s="375">
        <f t="shared" si="1"/>
        <v>229.60431574999996</v>
      </c>
      <c r="F22" s="375">
        <f t="shared" si="1"/>
        <v>250.3977075899999</v>
      </c>
      <c r="G22" s="375">
        <f t="shared" si="1"/>
        <v>263.17960259000006</v>
      </c>
      <c r="H22" s="375">
        <f t="shared" si="1"/>
        <v>273.19833632999996</v>
      </c>
      <c r="I22" s="375">
        <f t="shared" si="1"/>
        <v>247.90715091999999</v>
      </c>
      <c r="J22" s="375">
        <f t="shared" si="1"/>
        <v>235.65823451999998</v>
      </c>
      <c r="K22" s="375">
        <f t="shared" si="1"/>
        <v>211.06150409999998</v>
      </c>
      <c r="L22" s="375">
        <f t="shared" si="1"/>
        <v>184.79657779000001</v>
      </c>
      <c r="M22" s="376">
        <f>SUM(M16:M21)</f>
        <v>182.47020787</v>
      </c>
      <c r="N22" s="377">
        <f>SUM(N16:N21)</f>
        <v>188.72942726000002</v>
      </c>
    </row>
    <row r="23" spans="2:17" s="9" customFormat="1" ht="11.25" customHeight="1" x14ac:dyDescent="0.4">
      <c r="B23" s="410"/>
      <c r="C23" s="407"/>
      <c r="D23" s="407"/>
      <c r="E23" s="407"/>
      <c r="F23" s="407"/>
      <c r="G23" s="407"/>
      <c r="H23" s="407"/>
      <c r="I23" s="407"/>
      <c r="J23" s="407"/>
      <c r="K23" s="407"/>
      <c r="L23" s="407"/>
      <c r="M23" s="411"/>
      <c r="N23" s="412"/>
    </row>
    <row r="24" spans="2:17" s="9" customFormat="1" ht="24" customHeight="1" x14ac:dyDescent="0.25">
      <c r="B24" s="413" t="s">
        <v>1</v>
      </c>
      <c r="C24" s="414">
        <f t="shared" ref="C24:L24" si="2">C14-C22</f>
        <v>446.86685129000011</v>
      </c>
      <c r="D24" s="414">
        <f t="shared" si="2"/>
        <v>487.79945059999994</v>
      </c>
      <c r="E24" s="414">
        <f t="shared" si="2"/>
        <v>531.35051020999992</v>
      </c>
      <c r="F24" s="414">
        <f t="shared" si="2"/>
        <v>536.6447532699998</v>
      </c>
      <c r="G24" s="414">
        <f t="shared" si="2"/>
        <v>517.62893755999971</v>
      </c>
      <c r="H24" s="414">
        <f t="shared" si="2"/>
        <v>527.55786814000032</v>
      </c>
      <c r="I24" s="414">
        <f t="shared" si="2"/>
        <v>529.50533123000037</v>
      </c>
      <c r="J24" s="414">
        <f t="shared" si="2"/>
        <v>513.51456034999967</v>
      </c>
      <c r="K24" s="414">
        <f t="shared" si="2"/>
        <v>480.95271879000018</v>
      </c>
      <c r="L24" s="414">
        <f t="shared" si="2"/>
        <v>473.56545639000012</v>
      </c>
      <c r="M24" s="415">
        <f>M14-M22</f>
        <v>471.23080103999962</v>
      </c>
      <c r="N24" s="416">
        <f>N14-N22</f>
        <v>476.85100069999947</v>
      </c>
    </row>
    <row r="25" spans="2:17" s="9" customFormat="1" ht="12.75" customHeight="1" x14ac:dyDescent="0.25">
      <c r="B25" s="417"/>
      <c r="C25" s="418"/>
      <c r="D25" s="418"/>
      <c r="E25" s="418"/>
      <c r="F25" s="418"/>
      <c r="G25" s="418"/>
      <c r="H25" s="418"/>
      <c r="I25" s="418"/>
      <c r="J25" s="418"/>
      <c r="K25" s="418"/>
      <c r="L25" s="418"/>
      <c r="M25" s="419"/>
      <c r="N25" s="420"/>
    </row>
    <row r="26" spans="2:17" s="9" customFormat="1" ht="23.25" customHeight="1" x14ac:dyDescent="0.25">
      <c r="B26" s="654" t="s">
        <v>340</v>
      </c>
      <c r="C26" s="655">
        <v>2.63595384615385E-2</v>
      </c>
      <c r="D26" s="655">
        <v>3.36326153846154E-2</v>
      </c>
      <c r="E26" s="655">
        <v>3.7774769230769202E-2</v>
      </c>
      <c r="F26" s="655">
        <v>3.9582923076923099E-2</v>
      </c>
      <c r="G26" s="655">
        <v>3.9231692307692301E-2</v>
      </c>
      <c r="H26" s="655">
        <v>3.8104307692307701E-2</v>
      </c>
      <c r="I26" s="655">
        <v>3.5634923076923099E-2</v>
      </c>
      <c r="J26" s="655">
        <v>2.9984242424242403E-2</v>
      </c>
      <c r="K26" s="655">
        <v>2.56246875E-2</v>
      </c>
      <c r="L26" s="655">
        <v>2.1052698412698401E-2</v>
      </c>
      <c r="M26" s="656">
        <v>2.0109848484848501E-2</v>
      </c>
      <c r="N26" s="657">
        <v>2.0416507936507899E-2</v>
      </c>
      <c r="Q26" s="880"/>
    </row>
    <row r="27" spans="2:17" s="9" customFormat="1" ht="23.25" customHeight="1" x14ac:dyDescent="0.25">
      <c r="B27" s="659" t="s">
        <v>554</v>
      </c>
      <c r="C27" s="660">
        <v>5.4949729637958307E-2</v>
      </c>
      <c r="D27" s="660">
        <v>6.070619928770199E-2</v>
      </c>
      <c r="E27" s="660">
        <v>6.4562669640484793E-2</v>
      </c>
      <c r="F27" s="660">
        <v>6.573999999785278E-2</v>
      </c>
      <c r="G27" s="660">
        <v>6.5312671941050129E-2</v>
      </c>
      <c r="H27" s="660">
        <v>6.591987949724773E-2</v>
      </c>
      <c r="I27" s="660">
        <v>6.3971184781618229E-2</v>
      </c>
      <c r="J27" s="660">
        <v>5.9481827059117559E-2</v>
      </c>
      <c r="K27" s="660">
        <v>5.44247358578753E-2</v>
      </c>
      <c r="L27" s="660">
        <v>5.0287137061545223E-2</v>
      </c>
      <c r="M27" s="661">
        <v>4.7147389231821386E-2</v>
      </c>
      <c r="N27" s="662">
        <v>4.6221947098682291E-2</v>
      </c>
      <c r="Q27" s="880"/>
    </row>
    <row r="28" spans="2:17" s="9" customFormat="1" ht="23.25" customHeight="1" x14ac:dyDescent="0.25">
      <c r="B28" s="653" t="s">
        <v>384</v>
      </c>
      <c r="C28" s="668">
        <v>5.5350495803373215E-2</v>
      </c>
      <c r="D28" s="668">
        <v>5.9621738594033885E-2</v>
      </c>
      <c r="E28" s="668">
        <v>6.56281763026898E-2</v>
      </c>
      <c r="F28" s="668">
        <v>6.7107895788420968E-2</v>
      </c>
      <c r="G28" s="668">
        <v>6.645371867807888E-2</v>
      </c>
      <c r="H28" s="668">
        <v>6.5704161336757688E-2</v>
      </c>
      <c r="I28" s="668">
        <v>6.3939296024634079E-2</v>
      </c>
      <c r="J28" s="668">
        <v>5.9006693162056527E-2</v>
      </c>
      <c r="K28" s="668">
        <v>5.4485057013872948E-2</v>
      </c>
      <c r="L28" s="668">
        <v>4.9051366313959073E-2</v>
      </c>
      <c r="M28" s="669">
        <v>4.533199063591177E-2</v>
      </c>
      <c r="N28" s="670">
        <v>4.4704054277156721E-2</v>
      </c>
      <c r="P28" s="880"/>
      <c r="Q28" s="880"/>
    </row>
    <row r="29" spans="2:17" s="9" customFormat="1" ht="23.25" customHeight="1" x14ac:dyDescent="0.25">
      <c r="B29" s="653" t="s">
        <v>385</v>
      </c>
      <c r="C29" s="668">
        <v>4.1967651856792819E-2</v>
      </c>
      <c r="D29" s="668">
        <v>4.8677462503227083E-2</v>
      </c>
      <c r="E29" s="668">
        <v>4.9890645134093088E-2</v>
      </c>
      <c r="F29" s="668">
        <v>5.0302153444610982E-2</v>
      </c>
      <c r="G29" s="668">
        <v>5.0936336436381728E-2</v>
      </c>
      <c r="H29" s="668">
        <v>5.1400000000000001E-2</v>
      </c>
      <c r="I29" s="668">
        <v>5.0799999999999998E-2</v>
      </c>
      <c r="J29" s="668">
        <v>4.8053290381584221E-2</v>
      </c>
      <c r="K29" s="668">
        <v>4.2822764808447981E-2</v>
      </c>
      <c r="L29" s="668">
        <v>3.8582213214172531E-2</v>
      </c>
      <c r="M29" s="669">
        <v>3.6197724241570424E-2</v>
      </c>
      <c r="N29" s="670">
        <v>3.3352767272284985E-2</v>
      </c>
      <c r="Q29" s="880"/>
    </row>
    <row r="30" spans="2:17" s="9" customFormat="1" ht="23.25" customHeight="1" x14ac:dyDescent="0.25">
      <c r="B30" s="663" t="s">
        <v>386</v>
      </c>
      <c r="C30" s="671">
        <v>8.0086163704706934E-2</v>
      </c>
      <c r="D30" s="671">
        <v>8.4616869792783503E-2</v>
      </c>
      <c r="E30" s="671">
        <v>8.5117623059290409E-2</v>
      </c>
      <c r="F30" s="671">
        <v>8.5438163870236089E-2</v>
      </c>
      <c r="G30" s="671">
        <v>8.4179658441651414E-2</v>
      </c>
      <c r="H30" s="671">
        <v>8.4980428741874267E-2</v>
      </c>
      <c r="I30" s="671">
        <v>8.2999116404862155E-2</v>
      </c>
      <c r="J30" s="671">
        <v>8.0871049097841458E-2</v>
      </c>
      <c r="K30" s="671">
        <v>7.813440483964823E-2</v>
      </c>
      <c r="L30" s="671">
        <v>7.5494838019026358E-2</v>
      </c>
      <c r="M30" s="672">
        <v>7.4582518190706382E-2</v>
      </c>
      <c r="N30" s="673">
        <v>7.4739776570067251E-2</v>
      </c>
      <c r="Q30" s="880"/>
    </row>
    <row r="31" spans="2:17" s="9" customFormat="1" ht="23.25" customHeight="1" x14ac:dyDescent="0.25">
      <c r="B31" s="659" t="s">
        <v>403</v>
      </c>
      <c r="C31" s="660">
        <v>2.7484306220677136E-2</v>
      </c>
      <c r="D31" s="660">
        <v>2.7672846623426003E-2</v>
      </c>
      <c r="E31" s="660">
        <v>2.7255650575064412E-2</v>
      </c>
      <c r="F31" s="660">
        <v>2.6253577398597853E-2</v>
      </c>
      <c r="G31" s="660">
        <v>2.5893817650140719E-2</v>
      </c>
      <c r="H31" s="660">
        <v>2.6866913594297603E-2</v>
      </c>
      <c r="I31" s="660">
        <v>2.6106057315995437E-2</v>
      </c>
      <c r="J31" s="660">
        <v>2.4844613548467308E-2</v>
      </c>
      <c r="K31" s="660">
        <v>2.4501556222026679E-2</v>
      </c>
      <c r="L31" s="660">
        <v>2.4370688071904362E-2</v>
      </c>
      <c r="M31" s="661">
        <v>2.4058766057952187E-2</v>
      </c>
      <c r="N31" s="662">
        <v>2.3823678393967214E-2</v>
      </c>
      <c r="Q31" s="880"/>
    </row>
    <row r="32" spans="2:17" s="9" customFormat="1" ht="23.25" customHeight="1" x14ac:dyDescent="0.25">
      <c r="B32" s="653" t="s">
        <v>384</v>
      </c>
      <c r="C32" s="668">
        <v>2.6891410143407356E-2</v>
      </c>
      <c r="D32" s="668">
        <v>2.6462024242743735E-2</v>
      </c>
      <c r="E32" s="668">
        <v>2.6030170194375701E-2</v>
      </c>
      <c r="F32" s="668">
        <v>2.4943084988293177E-2</v>
      </c>
      <c r="G32" s="668">
        <v>2.4487256057612827E-2</v>
      </c>
      <c r="H32" s="668">
        <v>2.4078191050229649E-2</v>
      </c>
      <c r="I32" s="668">
        <v>2.3726223789355651E-2</v>
      </c>
      <c r="J32" s="668">
        <v>2.2877279229359341E-2</v>
      </c>
      <c r="K32" s="668">
        <v>2.2712177971919392E-2</v>
      </c>
      <c r="L32" s="668">
        <v>2.2069790337264441E-2</v>
      </c>
      <c r="M32" s="669">
        <v>2.1473600493324297E-2</v>
      </c>
      <c r="N32" s="670">
        <v>2.1209092134063006E-2</v>
      </c>
      <c r="Q32" s="880"/>
    </row>
    <row r="33" spans="2:17" s="9" customFormat="1" ht="23.25" customHeight="1" x14ac:dyDescent="0.25">
      <c r="B33" s="653" t="s">
        <v>385</v>
      </c>
      <c r="C33" s="668">
        <v>1.6133063877123092E-2</v>
      </c>
      <c r="D33" s="668">
        <v>1.8642871142911369E-2</v>
      </c>
      <c r="E33" s="668">
        <v>1.9194402990634712E-2</v>
      </c>
      <c r="F33" s="668">
        <v>1.9133112858344941E-2</v>
      </c>
      <c r="G33" s="668">
        <v>1.9819356994104944E-2</v>
      </c>
      <c r="H33" s="668">
        <v>2.5157836599761056E-2</v>
      </c>
      <c r="I33" s="668">
        <v>2.2972658759469692E-2</v>
      </c>
      <c r="J33" s="668">
        <v>1.9167215717352446E-2</v>
      </c>
      <c r="K33" s="668">
        <v>1.8289519864147497E-2</v>
      </c>
      <c r="L33" s="668">
        <v>1.8393868033348484E-2</v>
      </c>
      <c r="M33" s="669">
        <v>1.8216854607237629E-2</v>
      </c>
      <c r="N33" s="670">
        <v>1.7981585918562817E-2</v>
      </c>
      <c r="Q33" s="880"/>
    </row>
    <row r="34" spans="2:17" s="9" customFormat="1" ht="23.25" customHeight="1" x14ac:dyDescent="0.25">
      <c r="B34" s="663" t="s">
        <v>386</v>
      </c>
      <c r="C34" s="671">
        <v>5.4844000035603718E-2</v>
      </c>
      <c r="D34" s="671">
        <v>5.302020095169941E-2</v>
      </c>
      <c r="E34" s="671">
        <v>4.9957482357563171E-2</v>
      </c>
      <c r="F34" s="671">
        <v>4.7366942396091856E-2</v>
      </c>
      <c r="G34" s="671">
        <v>4.5907701885376948E-2</v>
      </c>
      <c r="H34" s="671">
        <v>4.7192151774700569E-2</v>
      </c>
      <c r="I34" s="671">
        <v>4.7215065382410847E-2</v>
      </c>
      <c r="J34" s="671">
        <v>4.8587221750214508E-2</v>
      </c>
      <c r="K34" s="671">
        <v>4.7954596443459528E-2</v>
      </c>
      <c r="L34" s="671">
        <v>5.1529483056730871E-2</v>
      </c>
      <c r="M34" s="672">
        <v>5.3046971309732877E-2</v>
      </c>
      <c r="N34" s="673">
        <v>5.3789351824461762E-2</v>
      </c>
      <c r="Q34" s="880"/>
    </row>
    <row r="35" spans="2:17" s="9" customFormat="1" ht="23.25" customHeight="1" x14ac:dyDescent="0.25">
      <c r="B35" s="664" t="s">
        <v>341</v>
      </c>
      <c r="C35" s="665">
        <v>2.5119801157975224E-2</v>
      </c>
      <c r="D35" s="665">
        <v>2.218905237387921E-2</v>
      </c>
      <c r="E35" s="665">
        <v>2.3988991922705458E-2</v>
      </c>
      <c r="F35" s="665">
        <v>2.5777044964965665E-2</v>
      </c>
      <c r="G35" s="665">
        <v>2.5938008531260312E-2</v>
      </c>
      <c r="H35" s="665">
        <v>2.9281246333657196E-2</v>
      </c>
      <c r="I35" s="665">
        <v>2.9574718018028939E-2</v>
      </c>
      <c r="J35" s="665">
        <v>2.954298456052815E-2</v>
      </c>
      <c r="K35" s="665">
        <v>2.9815579338572828E-2</v>
      </c>
      <c r="L35" s="665">
        <v>2.9717645994255405E-2</v>
      </c>
      <c r="M35" s="666">
        <v>2.9854216101776698E-2</v>
      </c>
      <c r="N35" s="667">
        <v>3.0303619596018853E-2</v>
      </c>
      <c r="Q35" s="880"/>
    </row>
    <row r="36" spans="2:17" s="9" customFormat="1" ht="23.25" customHeight="1" x14ac:dyDescent="0.25">
      <c r="B36" s="659" t="s">
        <v>343</v>
      </c>
      <c r="C36" s="660">
        <v>2.2992829711599235E-3</v>
      </c>
      <c r="D36" s="660">
        <v>3.6137516447293039E-3</v>
      </c>
      <c r="E36" s="660">
        <v>4.6953754684291374E-3</v>
      </c>
      <c r="F36" s="660">
        <v>5.0918672365838722E-3</v>
      </c>
      <c r="G36" s="660">
        <v>5.3272728018339145E-3</v>
      </c>
      <c r="H36" s="660">
        <v>5.3724921473707991E-3</v>
      </c>
      <c r="I36" s="660">
        <v>5.472896783695412E-3</v>
      </c>
      <c r="J36" s="660">
        <v>5.4274043943437107E-3</v>
      </c>
      <c r="K36" s="660">
        <v>5.1853113068753062E-3</v>
      </c>
      <c r="L36" s="660">
        <v>4.3218026275067467E-3</v>
      </c>
      <c r="M36" s="661">
        <v>3.8760377275509905E-3</v>
      </c>
      <c r="N36" s="662">
        <v>3.8089841363702862E-3</v>
      </c>
      <c r="Q36" s="880"/>
    </row>
    <row r="37" spans="2:17" s="9" customFormat="1" ht="23.25" customHeight="1" x14ac:dyDescent="0.25">
      <c r="B37" s="653" t="s">
        <v>405</v>
      </c>
      <c r="C37" s="668">
        <v>5.9999999999999995E-4</v>
      </c>
      <c r="D37" s="668">
        <v>4.0000000000000002E-4</v>
      </c>
      <c r="E37" s="668">
        <v>5.0000000000000001E-4</v>
      </c>
      <c r="F37" s="668">
        <v>5.9999999999999995E-4</v>
      </c>
      <c r="G37" s="668">
        <v>6.9999999999999999E-4</v>
      </c>
      <c r="H37" s="668">
        <v>6.9999999999999999E-4</v>
      </c>
      <c r="I37" s="668">
        <v>6.8951896105703004E-4</v>
      </c>
      <c r="J37" s="668">
        <v>7.8879677959455008E-4</v>
      </c>
      <c r="K37" s="668">
        <v>7.778514853293663E-4</v>
      </c>
      <c r="L37" s="668">
        <v>6.5614280080217031E-4</v>
      </c>
      <c r="M37" s="669">
        <v>7.1427628736237295E-4</v>
      </c>
      <c r="N37" s="670">
        <v>7.0879565432309117E-4</v>
      </c>
      <c r="Q37" s="880"/>
    </row>
    <row r="38" spans="2:17" s="9" customFormat="1" ht="23.25" customHeight="1" x14ac:dyDescent="0.25">
      <c r="B38" s="663" t="s">
        <v>404</v>
      </c>
      <c r="C38" s="671">
        <v>9.5999999999999992E-3</v>
      </c>
      <c r="D38" s="671">
        <v>1.4800000000000001E-2</v>
      </c>
      <c r="E38" s="671">
        <v>1.8499999999999999E-2</v>
      </c>
      <c r="F38" s="671">
        <v>0.02</v>
      </c>
      <c r="G38" s="671">
        <v>2.07E-2</v>
      </c>
      <c r="H38" s="671">
        <v>2.1299999999999999E-2</v>
      </c>
      <c r="I38" s="671">
        <v>2.2170208772049633E-2</v>
      </c>
      <c r="J38" s="671">
        <v>2.1600878721983151E-2</v>
      </c>
      <c r="K38" s="671">
        <v>2.0189296062793967E-2</v>
      </c>
      <c r="L38" s="671">
        <v>1.7983528778088981E-2</v>
      </c>
      <c r="M38" s="672">
        <v>1.6151509260544518E-2</v>
      </c>
      <c r="N38" s="673">
        <v>1.5766565209315291E-2</v>
      </c>
      <c r="Q38" s="880"/>
    </row>
    <row r="39" spans="2:17" s="9" customFormat="1" ht="23.25" customHeight="1" x14ac:dyDescent="0.25">
      <c r="B39" s="1024" t="s">
        <v>701</v>
      </c>
      <c r="C39" s="1025">
        <f>C36</f>
        <v>2.2992829711599235E-3</v>
      </c>
      <c r="D39" s="1025">
        <f t="shared" ref="D39:F39" si="3">D36</f>
        <v>3.6137516447293039E-3</v>
      </c>
      <c r="E39" s="1025">
        <f t="shared" si="3"/>
        <v>4.6953754684291374E-3</v>
      </c>
      <c r="F39" s="1025">
        <f t="shared" si="3"/>
        <v>5.0918672365838722E-3</v>
      </c>
      <c r="G39" s="1025">
        <v>6.7920015906310048E-3</v>
      </c>
      <c r="H39" s="1025">
        <v>6.8478710697129708E-3</v>
      </c>
      <c r="I39" s="1025">
        <v>6.6644589447004002E-3</v>
      </c>
      <c r="J39" s="1025">
        <v>5.9184082865629288E-3</v>
      </c>
      <c r="K39" s="1025">
        <v>5.1321233797124452E-3</v>
      </c>
      <c r="L39" s="1025">
        <v>3.6376251782939953E-3</v>
      </c>
      <c r="M39" s="1026">
        <v>2.9754864537450926E-3</v>
      </c>
      <c r="N39" s="1027">
        <v>2.9089940741481475E-3</v>
      </c>
      <c r="Q39" s="880"/>
    </row>
    <row r="40" spans="2:17" s="9" customFormat="1" ht="23.25" customHeight="1" x14ac:dyDescent="0.25">
      <c r="B40" s="1039" t="s">
        <v>342</v>
      </c>
      <c r="C40" s="658">
        <v>6.5171258055481962E-2</v>
      </c>
      <c r="D40" s="658">
        <v>6.5429217519622399E-2</v>
      </c>
      <c r="E40" s="658">
        <v>6.3833707033967485E-2</v>
      </c>
      <c r="F40" s="658">
        <v>6.5566377745863616E-2</v>
      </c>
      <c r="G40" s="658">
        <v>6.6074006964766188E-2</v>
      </c>
      <c r="H40" s="658">
        <v>6.2635491338182345E-2</v>
      </c>
      <c r="I40" s="658">
        <v>5.7548699279133135E-2</v>
      </c>
      <c r="J40" s="658">
        <v>5.8657740285411222E-2</v>
      </c>
      <c r="K40" s="658">
        <v>5.8396672980830677E-2</v>
      </c>
      <c r="L40" s="658">
        <v>5.6961365731792814E-2</v>
      </c>
      <c r="M40" s="1022">
        <v>5.5492006457127263E-2</v>
      </c>
      <c r="N40" s="1023">
        <v>5.2946566827532127E-2</v>
      </c>
      <c r="Q40" s="880"/>
    </row>
    <row r="41" spans="2:17" s="9" customFormat="1" ht="11.25" customHeight="1" x14ac:dyDescent="0.4">
      <c r="B41" s="337"/>
      <c r="C41" s="427"/>
      <c r="D41" s="427"/>
      <c r="E41" s="427"/>
      <c r="F41" s="427"/>
      <c r="G41" s="427"/>
      <c r="H41" s="427"/>
      <c r="I41" s="427"/>
      <c r="J41" s="427"/>
      <c r="K41" s="427"/>
      <c r="L41" s="427"/>
      <c r="M41" s="428"/>
      <c r="N41" s="429"/>
    </row>
    <row r="42" spans="2:17" s="9" customFormat="1" ht="24.75" customHeight="1" x14ac:dyDescent="0.25">
      <c r="B42" s="413" t="s">
        <v>145</v>
      </c>
      <c r="C42" s="424">
        <v>2.4186364552267556E-2</v>
      </c>
      <c r="D42" s="424">
        <v>2.5730816441364001E-2</v>
      </c>
      <c r="E42" s="424">
        <v>2.7206651241827556E-2</v>
      </c>
      <c r="F42" s="424">
        <v>2.774100684837344E-2</v>
      </c>
      <c r="G42" s="424">
        <v>2.7109835221081534E-2</v>
      </c>
      <c r="H42" s="424">
        <v>2.7427644583798531E-2</v>
      </c>
      <c r="I42" s="424">
        <v>2.7256105968659187E-2</v>
      </c>
      <c r="J42" s="424">
        <v>2.6014731183636831E-2</v>
      </c>
      <c r="K42" s="424">
        <v>2.444934036735277E-2</v>
      </c>
      <c r="L42" s="424">
        <v>2.3753196351874572E-2</v>
      </c>
      <c r="M42" s="425">
        <v>2.2943693680356349E-2</v>
      </c>
      <c r="N42" s="426">
        <v>2.203169733103626E-2</v>
      </c>
      <c r="P42" s="880"/>
    </row>
    <row r="43" spans="2:17" ht="24.75" customHeight="1" x14ac:dyDescent="0.25">
      <c r="B43" s="421" t="s">
        <v>541</v>
      </c>
      <c r="C43" s="408">
        <v>2.917648862280451E-2</v>
      </c>
      <c r="D43" s="408">
        <v>3.1338402508389207E-2</v>
      </c>
      <c r="E43" s="408">
        <v>3.2960999119294433E-2</v>
      </c>
      <c r="F43" s="408">
        <v>3.3307402014301282E-2</v>
      </c>
      <c r="G43" s="408">
        <v>3.2531039829843039E-2</v>
      </c>
      <c r="H43" s="408">
        <v>3.312506810691395E-2</v>
      </c>
      <c r="I43" s="408">
        <v>3.2802537964391122E-2</v>
      </c>
      <c r="J43" s="408">
        <v>3.0819292366616142E-2</v>
      </c>
      <c r="K43" s="408">
        <v>2.8702998960054005E-2</v>
      </c>
      <c r="L43" s="408">
        <v>2.8009969272141135E-2</v>
      </c>
      <c r="M43" s="422">
        <v>2.7058294784818016E-2</v>
      </c>
      <c r="N43" s="423">
        <v>2.57701002002831E-2</v>
      </c>
    </row>
    <row r="44" spans="2:17" ht="11.25" customHeight="1" x14ac:dyDescent="0.25">
      <c r="B44" s="265"/>
      <c r="C44" s="265"/>
      <c r="D44" s="265"/>
      <c r="E44" s="265"/>
      <c r="F44" s="265"/>
      <c r="G44" s="265"/>
      <c r="H44" s="265"/>
      <c r="I44" s="265"/>
      <c r="J44" s="265"/>
      <c r="K44" s="265"/>
      <c r="L44" s="265"/>
      <c r="M44" s="265"/>
      <c r="N44" s="265"/>
    </row>
    <row r="45" spans="2:17" ht="18.75" customHeight="1" x14ac:dyDescent="0.25">
      <c r="B45" s="328" t="s">
        <v>649</v>
      </c>
      <c r="C45" s="327"/>
      <c r="D45" s="327"/>
      <c r="E45" s="327"/>
      <c r="F45" s="327"/>
      <c r="G45" s="327"/>
      <c r="H45" s="327"/>
      <c r="I45" s="327"/>
      <c r="J45" s="327"/>
      <c r="K45" s="327"/>
      <c r="L45" s="327"/>
      <c r="M45" s="327"/>
      <c r="N45" s="327"/>
    </row>
    <row r="46" spans="2:17" ht="18.75" customHeight="1" x14ac:dyDescent="0.25">
      <c r="B46" s="328" t="s">
        <v>539</v>
      </c>
      <c r="C46" s="327"/>
      <c r="D46" s="327"/>
      <c r="E46" s="327"/>
      <c r="F46" s="327"/>
      <c r="G46" s="327"/>
      <c r="H46" s="327"/>
      <c r="I46" s="327"/>
      <c r="J46" s="327"/>
      <c r="K46" s="327"/>
      <c r="L46" s="327"/>
      <c r="M46" s="327"/>
      <c r="N46" s="327"/>
    </row>
    <row r="47" spans="2:17" ht="18.75" customHeight="1" x14ac:dyDescent="0.25">
      <c r="B47" s="328" t="s">
        <v>540</v>
      </c>
      <c r="C47" s="327"/>
      <c r="D47" s="327"/>
      <c r="E47" s="327"/>
      <c r="F47" s="327"/>
      <c r="G47" s="327"/>
      <c r="H47" s="327"/>
      <c r="I47" s="327"/>
      <c r="J47" s="327"/>
      <c r="K47" s="327"/>
      <c r="L47" s="327"/>
      <c r="M47" s="327"/>
      <c r="N47" s="327"/>
    </row>
    <row r="48" spans="2:17" ht="27" customHeight="1" x14ac:dyDescent="0.25">
      <c r="B48" s="83"/>
      <c r="C48" s="37"/>
      <c r="D48" s="37"/>
      <c r="E48" s="37"/>
      <c r="F48" s="37"/>
      <c r="G48" s="37"/>
      <c r="H48" s="37"/>
      <c r="I48" s="37"/>
      <c r="J48" s="37"/>
      <c r="K48" s="37"/>
      <c r="L48" s="37"/>
      <c r="M48" s="37"/>
      <c r="N48" s="37"/>
    </row>
    <row r="49" spans="2:14" ht="34.5" customHeight="1" x14ac:dyDescent="0.25">
      <c r="B49" s="37"/>
      <c r="C49" s="37"/>
      <c r="D49" s="37"/>
      <c r="E49" s="37"/>
      <c r="F49" s="37"/>
      <c r="G49" s="37"/>
      <c r="H49" s="37"/>
      <c r="I49" s="37"/>
      <c r="J49" s="37"/>
      <c r="K49" s="37"/>
      <c r="L49" s="37"/>
      <c r="M49" s="37"/>
      <c r="N49" s="37"/>
    </row>
    <row r="50" spans="2:14" x14ac:dyDescent="0.25">
      <c r="B50" s="37"/>
      <c r="C50" s="37"/>
      <c r="D50" s="37"/>
      <c r="E50" s="37"/>
      <c r="F50" s="37"/>
      <c r="G50" s="37"/>
      <c r="H50" s="37"/>
      <c r="I50" s="37"/>
      <c r="J50" s="37"/>
      <c r="K50" s="37"/>
      <c r="L50" s="37"/>
      <c r="M50" s="37"/>
      <c r="N50" s="37"/>
    </row>
    <row r="51" spans="2:14" ht="24.75" customHeight="1" x14ac:dyDescent="0.25">
      <c r="B51" s="37"/>
      <c r="C51" s="37"/>
      <c r="D51" s="37"/>
      <c r="E51" s="37"/>
      <c r="F51" s="37"/>
      <c r="G51" s="37"/>
      <c r="H51" s="37"/>
      <c r="I51" s="37"/>
      <c r="J51" s="37"/>
      <c r="K51" s="37"/>
      <c r="L51" s="37"/>
      <c r="M51" s="37"/>
      <c r="N51" s="37"/>
    </row>
  </sheetData>
  <mergeCells count="1">
    <mergeCell ref="B5:N5"/>
  </mergeCells>
  <hyperlinks>
    <hyperlink ref="N2" location="'Cover '!A1" display="Back to Cover" xr:uid="{3863610A-EFDF-49AB-BA32-F7C5F2EB55D5}"/>
  </hyperlinks>
  <pageMargins left="0.7" right="0.7" top="0.75" bottom="0.75" header="0.3" footer="0.3"/>
  <pageSetup scale="50" orientation="landscape" r:id="rId1"/>
  <ignoredErrors>
    <ignoredError sqref="F22" formula="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3C46CA-E650-42A2-AB1A-CEB202C7CCF8}">
  <sheetPr>
    <pageSetUpPr fitToPage="1"/>
  </sheetPr>
  <dimension ref="A1:U31"/>
  <sheetViews>
    <sheetView showGridLines="0" view="pageBreakPreview" zoomScale="85" zoomScaleNormal="90" zoomScaleSheetLayoutView="85" workbookViewId="0">
      <selection activeCell="B5" sqref="B5:O5"/>
    </sheetView>
  </sheetViews>
  <sheetFormatPr defaultColWidth="9.109375" defaultRowHeight="15.6" x14ac:dyDescent="0.25"/>
  <cols>
    <col min="1" max="1" width="2.44140625" style="6" customWidth="1"/>
    <col min="2" max="2" width="29.109375" style="6" customWidth="1"/>
    <col min="3" max="3" width="37.109375" style="6" customWidth="1"/>
    <col min="4" max="15" width="15.88671875" style="6" customWidth="1"/>
    <col min="16" max="16" width="2.44140625" style="6" customWidth="1"/>
    <col min="17" max="17" width="13.44140625" style="6" customWidth="1"/>
    <col min="18" max="18" width="13.109375" style="6" bestFit="1" customWidth="1"/>
    <col min="19" max="16384" width="9.109375" style="6"/>
  </cols>
  <sheetData>
    <row r="1" spans="1:21" ht="15.75" customHeight="1" x14ac:dyDescent="0.25"/>
    <row r="2" spans="1:21" ht="15.75" customHeight="1" x14ac:dyDescent="0.25">
      <c r="B2" s="265"/>
      <c r="C2" s="265"/>
      <c r="D2" s="114"/>
      <c r="E2" s="114"/>
      <c r="F2" s="114"/>
      <c r="G2" s="114"/>
      <c r="H2" s="114"/>
      <c r="I2" s="114"/>
      <c r="J2" s="114"/>
      <c r="K2" s="114"/>
      <c r="L2" s="114"/>
      <c r="M2" s="114"/>
      <c r="N2" s="114"/>
      <c r="O2" s="114" t="s">
        <v>18</v>
      </c>
    </row>
    <row r="3" spans="1:21" ht="15.75" customHeight="1" x14ac:dyDescent="0.25">
      <c r="B3" s="265"/>
      <c r="C3" s="265"/>
      <c r="D3" s="265"/>
      <c r="E3" s="265"/>
      <c r="F3" s="265"/>
      <c r="G3" s="265"/>
      <c r="H3" s="265"/>
      <c r="I3" s="265"/>
      <c r="J3" s="265"/>
      <c r="K3" s="265"/>
      <c r="L3" s="265"/>
      <c r="M3" s="265"/>
      <c r="N3" s="265"/>
      <c r="O3" s="265"/>
    </row>
    <row r="4" spans="1:21" ht="15.75" customHeight="1" x14ac:dyDescent="0.25">
      <c r="B4" s="265"/>
      <c r="C4" s="265"/>
      <c r="D4" s="265"/>
      <c r="E4" s="265"/>
      <c r="F4" s="265"/>
      <c r="G4" s="265"/>
      <c r="H4" s="265"/>
      <c r="I4" s="265"/>
      <c r="J4" s="265"/>
      <c r="K4" s="265"/>
      <c r="L4" s="265"/>
      <c r="M4" s="265"/>
      <c r="N4" s="265"/>
      <c r="O4" s="265"/>
    </row>
    <row r="5" spans="1:21" s="17" customFormat="1" ht="27.6" x14ac:dyDescent="0.25">
      <c r="A5" s="16"/>
      <c r="B5" s="1044" t="s">
        <v>684</v>
      </c>
      <c r="C5" s="1044"/>
      <c r="D5" s="1044"/>
      <c r="E5" s="1044"/>
      <c r="F5" s="1044"/>
      <c r="G5" s="1044"/>
      <c r="H5" s="1044"/>
      <c r="I5" s="1044"/>
      <c r="J5" s="1044"/>
      <c r="K5" s="1044"/>
      <c r="L5" s="1044"/>
      <c r="M5" s="1044"/>
      <c r="N5" s="1044"/>
      <c r="O5" s="1044"/>
    </row>
    <row r="6" spans="1:21" s="17" customFormat="1" ht="9" customHeight="1" x14ac:dyDescent="0.25">
      <c r="A6" s="16"/>
      <c r="B6" s="430"/>
      <c r="C6" s="430"/>
      <c r="D6" s="431"/>
      <c r="E6" s="431"/>
      <c r="F6" s="431"/>
      <c r="G6" s="431"/>
      <c r="H6" s="431"/>
      <c r="I6" s="431"/>
      <c r="J6" s="431"/>
      <c r="K6" s="431"/>
      <c r="L6" s="431"/>
      <c r="M6" s="431"/>
      <c r="N6" s="431"/>
      <c r="O6" s="431"/>
    </row>
    <row r="7" spans="1:21" s="17" customFormat="1" ht="15.75" customHeight="1" x14ac:dyDescent="0.25">
      <c r="A7" s="18"/>
      <c r="B7" s="432"/>
      <c r="C7" s="432"/>
      <c r="D7" s="431"/>
      <c r="E7" s="431"/>
      <c r="F7" s="431"/>
      <c r="G7" s="431"/>
      <c r="H7" s="431"/>
      <c r="I7" s="431"/>
      <c r="J7" s="431"/>
      <c r="K7" s="431"/>
      <c r="L7" s="431"/>
      <c r="M7" s="431"/>
      <c r="N7" s="431"/>
      <c r="O7" s="431"/>
    </row>
    <row r="8" spans="1:21" ht="15" customHeight="1" x14ac:dyDescent="0.25">
      <c r="B8" s="265"/>
      <c r="C8" s="265"/>
      <c r="D8" s="265"/>
      <c r="E8" s="265"/>
      <c r="F8" s="265"/>
      <c r="G8" s="265"/>
      <c r="H8" s="265"/>
      <c r="I8" s="265"/>
      <c r="J8" s="265"/>
      <c r="K8" s="265"/>
      <c r="L8" s="265"/>
      <c r="M8" s="265"/>
      <c r="N8" s="265"/>
      <c r="O8" s="265"/>
    </row>
    <row r="9" spans="1:21" s="7" customFormat="1" ht="33.75" customHeight="1" x14ac:dyDescent="0.25">
      <c r="B9" s="341" t="s">
        <v>0</v>
      </c>
      <c r="C9" s="435"/>
      <c r="D9" s="342" t="s">
        <v>154</v>
      </c>
      <c r="E9" s="342" t="s">
        <v>157</v>
      </c>
      <c r="F9" s="342" t="s">
        <v>165</v>
      </c>
      <c r="G9" s="342" t="s">
        <v>268</v>
      </c>
      <c r="H9" s="342" t="s">
        <v>274</v>
      </c>
      <c r="I9" s="342" t="s">
        <v>360</v>
      </c>
      <c r="J9" s="342" t="s">
        <v>397</v>
      </c>
      <c r="K9" s="342" t="s">
        <v>416</v>
      </c>
      <c r="L9" s="342" t="s">
        <v>446</v>
      </c>
      <c r="M9" s="342" t="s">
        <v>455</v>
      </c>
      <c r="N9" s="343" t="s">
        <v>496</v>
      </c>
      <c r="O9" s="344" t="s">
        <v>559</v>
      </c>
    </row>
    <row r="10" spans="1:21" s="9" customFormat="1" ht="24.75" customHeight="1" x14ac:dyDescent="0.25">
      <c r="B10" s="1052" t="s">
        <v>71</v>
      </c>
      <c r="C10" s="326" t="s">
        <v>68</v>
      </c>
      <c r="D10" s="401">
        <v>20.966668500000001</v>
      </c>
      <c r="E10" s="401">
        <v>30.556121590000004</v>
      </c>
      <c r="F10" s="403">
        <v>21.575059740000047</v>
      </c>
      <c r="G10" s="401">
        <v>20.961328649999952</v>
      </c>
      <c r="H10" s="401">
        <v>20.989965670000007</v>
      </c>
      <c r="I10" s="403">
        <v>29.994878919999987</v>
      </c>
      <c r="J10" s="403">
        <v>26.907485699999935</v>
      </c>
      <c r="K10" s="403">
        <v>31.792947810000019</v>
      </c>
      <c r="L10" s="403">
        <v>30.920775140000032</v>
      </c>
      <c r="M10" s="403">
        <v>29.344298159999965</v>
      </c>
      <c r="N10" s="927">
        <v>25.663700910000024</v>
      </c>
      <c r="O10" s="404">
        <v>41.158841640000013</v>
      </c>
      <c r="Q10" s="95"/>
      <c r="R10" s="95"/>
      <c r="S10" s="51"/>
      <c r="T10" s="40"/>
      <c r="U10" s="95"/>
    </row>
    <row r="11" spans="1:21" s="9" customFormat="1" ht="24.75" customHeight="1" x14ac:dyDescent="0.25">
      <c r="B11" s="1053"/>
      <c r="C11" s="326" t="s">
        <v>222</v>
      </c>
      <c r="D11" s="401">
        <v>11.111915479999999</v>
      </c>
      <c r="E11" s="401">
        <v>11.301658049999993</v>
      </c>
      <c r="F11" s="403">
        <v>12.056728299999982</v>
      </c>
      <c r="G11" s="401">
        <v>12.910945210000031</v>
      </c>
      <c r="H11" s="401">
        <v>12.373387230000002</v>
      </c>
      <c r="I11" s="403">
        <v>12.622917339999987</v>
      </c>
      <c r="J11" s="403">
        <v>13.086975720000007</v>
      </c>
      <c r="K11" s="403">
        <v>12.739504220000022</v>
      </c>
      <c r="L11" s="403">
        <v>12.553414919999998</v>
      </c>
      <c r="M11" s="403">
        <v>12.773198170000009</v>
      </c>
      <c r="N11" s="927">
        <v>13.209421689999987</v>
      </c>
      <c r="O11" s="404">
        <v>13.97566404</v>
      </c>
      <c r="Q11" s="95"/>
      <c r="R11" s="95"/>
      <c r="S11" s="51"/>
      <c r="T11" s="40"/>
      <c r="U11" s="95"/>
    </row>
    <row r="12" spans="1:21" s="9" customFormat="1" ht="24.75" customHeight="1" x14ac:dyDescent="0.25">
      <c r="B12" s="1053"/>
      <c r="C12" s="326" t="s">
        <v>223</v>
      </c>
      <c r="D12" s="401">
        <v>0.26500000000000001</v>
      </c>
      <c r="E12" s="401">
        <v>0.12077125000000001</v>
      </c>
      <c r="F12" s="403">
        <v>2.1760299999999999</v>
      </c>
      <c r="G12" s="401">
        <v>3.12940394</v>
      </c>
      <c r="H12" s="401">
        <v>4.9715417300000011</v>
      </c>
      <c r="I12" s="403">
        <v>0.66665640000000037</v>
      </c>
      <c r="J12" s="403">
        <v>0.255</v>
      </c>
      <c r="K12" s="403">
        <v>0.616313</v>
      </c>
      <c r="L12" s="403">
        <v>1.8748244199999999</v>
      </c>
      <c r="M12" s="403">
        <v>3.7694388499999993</v>
      </c>
      <c r="N12" s="927">
        <v>2.7150561599999992</v>
      </c>
      <c r="O12" s="404">
        <v>6.8981417899999986</v>
      </c>
      <c r="Q12" s="95"/>
      <c r="R12" s="95"/>
      <c r="S12" s="51"/>
      <c r="T12" s="40"/>
      <c r="U12" s="95"/>
    </row>
    <row r="13" spans="1:21" s="9" customFormat="1" ht="24.75" customHeight="1" x14ac:dyDescent="0.25">
      <c r="B13" s="1054" t="s">
        <v>72</v>
      </c>
      <c r="C13" s="436" t="s">
        <v>69</v>
      </c>
      <c r="D13" s="437">
        <v>11.249653819999995</v>
      </c>
      <c r="E13" s="437">
        <v>11.652913560000009</v>
      </c>
      <c r="F13" s="438">
        <v>11.425354350000012</v>
      </c>
      <c r="G13" s="437">
        <v>15.388913589999968</v>
      </c>
      <c r="H13" s="437">
        <v>13.70282772</v>
      </c>
      <c r="I13" s="438">
        <v>14.253332159999999</v>
      </c>
      <c r="J13" s="438">
        <v>13.307822639999996</v>
      </c>
      <c r="K13" s="438">
        <v>21.014092510000008</v>
      </c>
      <c r="L13" s="438">
        <v>17.809583720000006</v>
      </c>
      <c r="M13" s="438">
        <v>18.022123470000007</v>
      </c>
      <c r="N13" s="929">
        <v>18.107963049999967</v>
      </c>
      <c r="O13" s="439">
        <v>25.932569100000084</v>
      </c>
      <c r="Q13" s="95"/>
      <c r="R13" s="95"/>
      <c r="S13" s="51"/>
      <c r="T13" s="40"/>
      <c r="U13" s="95"/>
    </row>
    <row r="14" spans="1:21" s="9" customFormat="1" ht="24.75" customHeight="1" x14ac:dyDescent="0.25">
      <c r="B14" s="1052"/>
      <c r="C14" s="326" t="s">
        <v>682</v>
      </c>
      <c r="D14" s="401"/>
      <c r="E14" s="401"/>
      <c r="F14" s="403"/>
      <c r="G14" s="401"/>
      <c r="H14" s="401"/>
      <c r="I14" s="403"/>
      <c r="J14" s="403"/>
      <c r="K14" s="403"/>
      <c r="L14" s="403"/>
      <c r="M14" s="403"/>
      <c r="N14" s="927"/>
      <c r="O14" s="404">
        <v>10.096993999999999</v>
      </c>
      <c r="Q14" s="95"/>
      <c r="R14" s="95"/>
      <c r="S14" s="51"/>
      <c r="T14" s="40"/>
      <c r="U14" s="95"/>
    </row>
    <row r="15" spans="1:21" s="9" customFormat="1" ht="24.75" customHeight="1" x14ac:dyDescent="0.25">
      <c r="B15" s="1053"/>
      <c r="C15" s="326" t="s">
        <v>224</v>
      </c>
      <c r="D15" s="401">
        <v>7.3991201240846483</v>
      </c>
      <c r="E15" s="401">
        <v>8.6718071559153618</v>
      </c>
      <c r="F15" s="403">
        <v>8.109751829999988</v>
      </c>
      <c r="G15" s="401">
        <v>12.261743939999986</v>
      </c>
      <c r="H15" s="401">
        <v>11.76488726</v>
      </c>
      <c r="I15" s="403">
        <v>12.357322129999993</v>
      </c>
      <c r="J15" s="403">
        <v>13.371358660000011</v>
      </c>
      <c r="K15" s="403">
        <v>14.410830580000018</v>
      </c>
      <c r="L15" s="403">
        <v>16.404496149999993</v>
      </c>
      <c r="M15" s="403">
        <v>18.143255880000005</v>
      </c>
      <c r="N15" s="927">
        <v>18.268796890000043</v>
      </c>
      <c r="O15" s="404">
        <v>20.951708769999982</v>
      </c>
      <c r="Q15" s="95"/>
      <c r="R15" s="95"/>
      <c r="S15" s="51"/>
      <c r="T15" s="40"/>
      <c r="U15" s="95"/>
    </row>
    <row r="16" spans="1:21" s="9" customFormat="1" ht="24.75" customHeight="1" x14ac:dyDescent="0.25">
      <c r="B16" s="1055"/>
      <c r="C16" s="440" t="s">
        <v>70</v>
      </c>
      <c r="D16" s="441">
        <v>4.7348641299999983</v>
      </c>
      <c r="E16" s="441">
        <v>5.4350627300000047</v>
      </c>
      <c r="F16" s="442">
        <v>5.8839429600000059</v>
      </c>
      <c r="G16" s="441">
        <v>3.9372541899999978</v>
      </c>
      <c r="H16" s="441">
        <v>7.338402010000002</v>
      </c>
      <c r="I16" s="442">
        <v>6.2281842699999928</v>
      </c>
      <c r="J16" s="442">
        <v>5.0567845400000087</v>
      </c>
      <c r="K16" s="442">
        <v>6.4533602000000005</v>
      </c>
      <c r="L16" s="442">
        <v>8.0315124899999955</v>
      </c>
      <c r="M16" s="442">
        <v>8.0722621400000172</v>
      </c>
      <c r="N16" s="930">
        <v>8.3065851599999849</v>
      </c>
      <c r="O16" s="443">
        <v>7.9941905400000088</v>
      </c>
      <c r="Q16" s="95"/>
      <c r="R16" s="95"/>
      <c r="S16" s="51"/>
      <c r="T16" s="40"/>
      <c r="U16" s="95"/>
    </row>
    <row r="17" spans="2:21" s="9" customFormat="1" ht="24.75" customHeight="1" x14ac:dyDescent="0.4">
      <c r="B17" s="1054" t="s">
        <v>279</v>
      </c>
      <c r="C17" s="676" t="s">
        <v>225</v>
      </c>
      <c r="D17" s="401">
        <v>21.251055369999989</v>
      </c>
      <c r="E17" s="401">
        <v>23.764253470000032</v>
      </c>
      <c r="F17" s="403">
        <v>27.457499059999979</v>
      </c>
      <c r="G17" s="401">
        <v>26.104076310000053</v>
      </c>
      <c r="H17" s="401">
        <v>25.529238529999983</v>
      </c>
      <c r="I17" s="403">
        <v>32.068742939999986</v>
      </c>
      <c r="J17" s="403">
        <v>31.20381618572452</v>
      </c>
      <c r="K17" s="403">
        <v>26.320772274275505</v>
      </c>
      <c r="L17" s="403">
        <v>20.33617074999999</v>
      </c>
      <c r="M17" s="403">
        <v>21.319999100000011</v>
      </c>
      <c r="N17" s="927">
        <v>20.762987389999989</v>
      </c>
      <c r="O17" s="404">
        <v>22.168599039999982</v>
      </c>
      <c r="Q17" s="95"/>
      <c r="R17" s="95"/>
      <c r="S17" s="51"/>
      <c r="T17" s="40"/>
      <c r="U17" s="95"/>
    </row>
    <row r="18" spans="2:21" s="9" customFormat="1" ht="24.75" customHeight="1" x14ac:dyDescent="0.4">
      <c r="B18" s="1052"/>
      <c r="C18" s="676" t="s">
        <v>476</v>
      </c>
      <c r="D18" s="401">
        <v>10.43776474</v>
      </c>
      <c r="E18" s="401">
        <v>9.3437632799999939</v>
      </c>
      <c r="F18" s="403">
        <v>8.9619188399999974</v>
      </c>
      <c r="G18" s="401">
        <v>12.196006300000025</v>
      </c>
      <c r="H18" s="401">
        <v>12.538069229999987</v>
      </c>
      <c r="I18" s="401">
        <v>31.883706760000038</v>
      </c>
      <c r="J18" s="403">
        <v>17.627682088499995</v>
      </c>
      <c r="K18" s="403">
        <v>13.972654061499908</v>
      </c>
      <c r="L18" s="403">
        <v>16.90118278000001</v>
      </c>
      <c r="M18" s="403">
        <v>18.847312180000007</v>
      </c>
      <c r="N18" s="927">
        <v>20.855335699999959</v>
      </c>
      <c r="O18" s="404">
        <v>17.296793310000027</v>
      </c>
      <c r="Q18" s="95"/>
      <c r="R18" s="95"/>
      <c r="S18" s="51"/>
      <c r="T18" s="40"/>
      <c r="U18" s="95"/>
    </row>
    <row r="19" spans="2:21" s="9" customFormat="1" ht="24.75" customHeight="1" x14ac:dyDescent="0.4">
      <c r="B19" s="1052"/>
      <c r="C19" s="676" t="s">
        <v>73</v>
      </c>
      <c r="D19" s="401">
        <v>5.6931923900000108</v>
      </c>
      <c r="E19" s="401">
        <v>6.2409262399999825</v>
      </c>
      <c r="F19" s="403">
        <v>6.2363567399999917</v>
      </c>
      <c r="G19" s="401">
        <v>3.3024689200000137</v>
      </c>
      <c r="H19" s="401">
        <v>5.7502876800000005</v>
      </c>
      <c r="I19" s="403">
        <v>6.2084622799999822</v>
      </c>
      <c r="J19" s="403">
        <v>4.9752584600000045</v>
      </c>
      <c r="K19" s="403">
        <v>5.7305902500000192</v>
      </c>
      <c r="L19" s="403">
        <v>3.0884426099999991</v>
      </c>
      <c r="M19" s="403">
        <v>2.1799628900000041</v>
      </c>
      <c r="N19" s="927">
        <v>3.3212241899999944</v>
      </c>
      <c r="O19" s="404">
        <v>3.3496901699999544</v>
      </c>
      <c r="Q19" s="95"/>
      <c r="R19" s="95"/>
      <c r="S19" s="51"/>
      <c r="T19" s="40"/>
      <c r="U19" s="95"/>
    </row>
    <row r="20" spans="2:21" s="9" customFormat="1" ht="24.75" customHeight="1" x14ac:dyDescent="0.4">
      <c r="B20" s="1052"/>
      <c r="C20" s="676" t="s">
        <v>226</v>
      </c>
      <c r="D20" s="401">
        <v>7.1370408999999979</v>
      </c>
      <c r="E20" s="401">
        <v>7.6781423000000011</v>
      </c>
      <c r="F20" s="403">
        <v>8.7678750200000035</v>
      </c>
      <c r="G20" s="401">
        <v>7.4976376300000007</v>
      </c>
      <c r="H20" s="401">
        <v>6.9012271099999998</v>
      </c>
      <c r="I20" s="403">
        <v>8.0802019100000049</v>
      </c>
      <c r="J20" s="403">
        <v>7.6880291799999991</v>
      </c>
      <c r="K20" s="403">
        <v>7.1397608500000098</v>
      </c>
      <c r="L20" s="403">
        <v>6.4498443600000002</v>
      </c>
      <c r="M20" s="403">
        <v>7.8609721200000005</v>
      </c>
      <c r="N20" s="927">
        <v>6.4896743799999994</v>
      </c>
      <c r="O20" s="404">
        <v>9.4216606099999947</v>
      </c>
      <c r="Q20" s="38"/>
      <c r="R20" s="38"/>
      <c r="S20" s="51"/>
      <c r="T20" s="40"/>
      <c r="U20" s="95"/>
    </row>
    <row r="21" spans="2:21" ht="24.75" customHeight="1" x14ac:dyDescent="0.4">
      <c r="B21" s="1056"/>
      <c r="C21" s="676" t="s">
        <v>39</v>
      </c>
      <c r="D21" s="401">
        <v>4.4449892100000055</v>
      </c>
      <c r="E21" s="401">
        <v>5.7185073800000046</v>
      </c>
      <c r="F21" s="403">
        <v>7.6650106600000045</v>
      </c>
      <c r="G21" s="401">
        <v>4.917006099999977</v>
      </c>
      <c r="H21" s="401">
        <v>3.5131142099999968</v>
      </c>
      <c r="I21" s="403">
        <v>4.9890183500000047</v>
      </c>
      <c r="J21" s="403">
        <v>1.0994184199999999</v>
      </c>
      <c r="K21" s="403">
        <v>1.7304770199999902</v>
      </c>
      <c r="L21" s="403">
        <v>2.900739730000002</v>
      </c>
      <c r="M21" s="403">
        <v>2.1675045799999939</v>
      </c>
      <c r="N21" s="927">
        <v>2.6274973200000105</v>
      </c>
      <c r="O21" s="404">
        <v>1.3782173199999961</v>
      </c>
      <c r="Q21" s="999"/>
      <c r="R21" s="38"/>
      <c r="S21" s="51"/>
      <c r="T21" s="40"/>
      <c r="U21" s="95"/>
    </row>
    <row r="22" spans="2:21" s="9" customFormat="1" ht="24.75" customHeight="1" x14ac:dyDescent="0.25">
      <c r="B22" s="449" t="s">
        <v>227</v>
      </c>
      <c r="C22" s="450"/>
      <c r="D22" s="451">
        <v>16.956</v>
      </c>
      <c r="E22" s="451">
        <v>20.922000000000001</v>
      </c>
      <c r="F22" s="452">
        <v>19.670000000000002</v>
      </c>
      <c r="G22" s="451">
        <v>20.99</v>
      </c>
      <c r="H22" s="451">
        <v>19.946999999999999</v>
      </c>
      <c r="I22" s="452">
        <v>19.885999999999999</v>
      </c>
      <c r="J22" s="452">
        <v>21.317130179999999</v>
      </c>
      <c r="K22" s="452">
        <v>25.41</v>
      </c>
      <c r="L22" s="452">
        <v>22.512</v>
      </c>
      <c r="M22" s="452">
        <v>23.032</v>
      </c>
      <c r="N22" s="931">
        <v>23.527999999999999</v>
      </c>
      <c r="O22" s="453">
        <v>25.876000000000001</v>
      </c>
      <c r="Q22" s="999"/>
      <c r="R22" s="38"/>
      <c r="S22" s="51"/>
      <c r="T22" s="40"/>
      <c r="U22" s="95"/>
    </row>
    <row r="23" spans="2:21" ht="24.75" customHeight="1" x14ac:dyDescent="0.25">
      <c r="B23" s="444" t="s">
        <v>74</v>
      </c>
      <c r="C23" s="445"/>
      <c r="D23" s="446">
        <f t="shared" ref="D23:M23" si="0">SUM(D10:D22)</f>
        <v>121.64726466408466</v>
      </c>
      <c r="E23" s="446">
        <f t="shared" si="0"/>
        <v>141.40592700591537</v>
      </c>
      <c r="F23" s="446">
        <f t="shared" si="0"/>
        <v>139.98552750000002</v>
      </c>
      <c r="G23" s="446">
        <f t="shared" si="0"/>
        <v>143.59678478000001</v>
      </c>
      <c r="H23" s="446">
        <f t="shared" si="0"/>
        <v>145.31994837999997</v>
      </c>
      <c r="I23" s="446">
        <f t="shared" si="0"/>
        <v>179.23942345999998</v>
      </c>
      <c r="J23" s="446">
        <f t="shared" si="0"/>
        <v>155.89676177422447</v>
      </c>
      <c r="K23" s="446">
        <f t="shared" si="0"/>
        <v>167.33130277577553</v>
      </c>
      <c r="L23" s="446">
        <f t="shared" si="0"/>
        <v>159.78298707000005</v>
      </c>
      <c r="M23" s="446">
        <f t="shared" si="0"/>
        <v>165.53232754000007</v>
      </c>
      <c r="N23" s="447">
        <f t="shared" ref="N23" si="1">SUM(N10:N22)</f>
        <v>163.85624283999994</v>
      </c>
      <c r="O23" s="448">
        <f>SUM(O10:P22)</f>
        <v>206.49907033000005</v>
      </c>
      <c r="Q23" s="95"/>
      <c r="R23" s="95"/>
      <c r="S23" s="51"/>
      <c r="T23" s="40"/>
      <c r="U23" s="95"/>
    </row>
    <row r="24" spans="2:21" ht="15" customHeight="1" x14ac:dyDescent="0.25">
      <c r="B24" s="433"/>
      <c r="C24" s="433"/>
      <c r="D24" s="434"/>
      <c r="E24" s="434"/>
      <c r="F24" s="434"/>
      <c r="G24" s="434"/>
      <c r="H24" s="434"/>
      <c r="I24" s="434"/>
      <c r="J24" s="434"/>
      <c r="K24" s="434"/>
      <c r="L24" s="434"/>
      <c r="M24" s="434"/>
      <c r="N24" s="434"/>
      <c r="O24" s="434"/>
      <c r="R24" s="40"/>
      <c r="S24" s="51"/>
      <c r="T24" s="40"/>
      <c r="U24" s="40"/>
    </row>
    <row r="25" spans="2:21" ht="28.5" customHeight="1" x14ac:dyDescent="0.25">
      <c r="B25" s="1051"/>
      <c r="C25" s="1051"/>
      <c r="D25" s="1051"/>
      <c r="E25" s="1051"/>
      <c r="F25" s="1051"/>
      <c r="G25" s="1051"/>
      <c r="H25" s="1051"/>
      <c r="I25" s="1051"/>
      <c r="J25" s="1051"/>
      <c r="K25" s="1051"/>
      <c r="L25" s="1051"/>
      <c r="M25" s="1051"/>
      <c r="N25" s="1051"/>
      <c r="O25" s="1051"/>
      <c r="R25" s="40"/>
      <c r="S25" s="40"/>
      <c r="T25" s="40"/>
      <c r="U25" s="40"/>
    </row>
    <row r="26" spans="2:21" ht="28.5" customHeight="1" x14ac:dyDescent="0.25">
      <c r="B26" s="1051"/>
      <c r="C26" s="1051"/>
      <c r="D26" s="165"/>
      <c r="E26" s="165"/>
      <c r="F26" s="165"/>
      <c r="G26" s="165"/>
      <c r="H26" s="165"/>
      <c r="I26" s="165"/>
      <c r="J26" s="165"/>
      <c r="K26" s="165"/>
      <c r="L26" s="165"/>
      <c r="M26" s="165"/>
      <c r="N26" s="165"/>
      <c r="O26" s="165"/>
      <c r="R26" s="40"/>
      <c r="S26" s="40"/>
      <c r="T26" s="40"/>
      <c r="U26" s="40"/>
    </row>
    <row r="27" spans="2:21" ht="11.25" customHeight="1" x14ac:dyDescent="0.25">
      <c r="R27" s="40"/>
      <c r="S27" s="40"/>
      <c r="T27" s="40"/>
      <c r="U27" s="40"/>
    </row>
    <row r="28" spans="2:21" x14ac:dyDescent="0.25">
      <c r="B28" s="36"/>
      <c r="C28" s="36"/>
      <c r="D28" s="37"/>
      <c r="E28" s="37"/>
      <c r="F28" s="37"/>
      <c r="G28" s="37"/>
      <c r="H28" s="37"/>
      <c r="I28" s="37"/>
      <c r="J28" s="37"/>
      <c r="K28" s="37"/>
      <c r="L28" s="37"/>
      <c r="M28" s="37"/>
      <c r="N28" s="37"/>
      <c r="O28" s="37"/>
      <c r="R28" s="40"/>
      <c r="S28" s="40"/>
      <c r="T28" s="40"/>
      <c r="U28" s="40"/>
    </row>
    <row r="29" spans="2:21" ht="34.5" customHeight="1" x14ac:dyDescent="0.25">
      <c r="B29" s="37"/>
      <c r="C29" s="37"/>
      <c r="D29" s="62"/>
      <c r="E29" s="62"/>
      <c r="F29" s="62"/>
      <c r="G29" s="62"/>
      <c r="H29" s="62"/>
      <c r="I29" s="62"/>
      <c r="J29" s="62"/>
      <c r="K29" s="62"/>
      <c r="L29" s="62"/>
      <c r="M29" s="62"/>
      <c r="N29" s="62"/>
      <c r="O29" s="37"/>
      <c r="R29" s="40"/>
      <c r="S29" s="40"/>
      <c r="T29" s="40"/>
      <c r="U29" s="40"/>
    </row>
    <row r="30" spans="2:21" x14ac:dyDescent="0.25">
      <c r="B30" s="37"/>
      <c r="C30" s="37"/>
      <c r="D30" s="37"/>
      <c r="E30" s="37"/>
      <c r="F30" s="37"/>
      <c r="G30" s="37"/>
      <c r="H30" s="37"/>
      <c r="I30" s="37"/>
      <c r="J30" s="37"/>
      <c r="K30" s="37"/>
      <c r="L30" s="37"/>
      <c r="M30" s="37"/>
      <c r="N30" s="37"/>
      <c r="O30" s="37"/>
    </row>
    <row r="31" spans="2:21" ht="24.75" customHeight="1" x14ac:dyDescent="0.25">
      <c r="B31" s="37"/>
      <c r="C31" s="37"/>
      <c r="D31" s="37"/>
      <c r="E31" s="37"/>
      <c r="F31" s="37"/>
      <c r="G31" s="37"/>
      <c r="H31" s="37"/>
      <c r="I31" s="37"/>
      <c r="J31" s="37"/>
      <c r="K31" s="37"/>
      <c r="L31" s="37"/>
      <c r="M31" s="37"/>
      <c r="N31" s="37"/>
      <c r="O31" s="37"/>
    </row>
  </sheetData>
  <mergeCells count="6">
    <mergeCell ref="B5:O5"/>
    <mergeCell ref="B26:C26"/>
    <mergeCell ref="B10:B12"/>
    <mergeCell ref="B13:B16"/>
    <mergeCell ref="B17:B21"/>
    <mergeCell ref="B25:O25"/>
  </mergeCells>
  <hyperlinks>
    <hyperlink ref="O2" location="'Cover '!A1" display="Back to Cover" xr:uid="{C5603B20-4257-40A1-AF78-FB7D46DFECC0}"/>
  </hyperlinks>
  <pageMargins left="0.7" right="0.7" top="0.75" bottom="0.75" header="0.3" footer="0.3"/>
  <pageSetup scale="46"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54F27E-4884-4F42-9563-FB4DB840E220}">
  <sheetPr>
    <pageSetUpPr fitToPage="1"/>
  </sheetPr>
  <dimension ref="A1:P40"/>
  <sheetViews>
    <sheetView showGridLines="0" view="pageBreakPreview" zoomScale="85" zoomScaleNormal="90" zoomScaleSheetLayoutView="85" workbookViewId="0">
      <selection activeCell="B5" sqref="B5:J5"/>
    </sheetView>
  </sheetViews>
  <sheetFormatPr defaultColWidth="9.109375" defaultRowHeight="15.6" x14ac:dyDescent="0.25"/>
  <cols>
    <col min="1" max="1" width="2.44140625" style="6" customWidth="1"/>
    <col min="2" max="2" width="61.33203125" style="6" customWidth="1"/>
    <col min="3" max="10" width="15.88671875" style="6" customWidth="1"/>
    <col min="11" max="11" width="2.44140625" style="6" customWidth="1"/>
    <col min="12" max="16384" width="9.109375" style="6"/>
  </cols>
  <sheetData>
    <row r="1" spans="1:16" ht="15.75" customHeight="1" x14ac:dyDescent="0.25"/>
    <row r="2" spans="1:16" ht="15.75" customHeight="1" x14ac:dyDescent="0.25">
      <c r="B2" s="112"/>
      <c r="C2" s="115"/>
      <c r="D2" s="115"/>
      <c r="E2" s="115"/>
      <c r="F2" s="115"/>
      <c r="G2" s="115"/>
      <c r="H2" s="115"/>
      <c r="I2" s="115"/>
      <c r="J2" s="114" t="s">
        <v>18</v>
      </c>
    </row>
    <row r="3" spans="1:16" ht="15.75" customHeight="1" x14ac:dyDescent="0.25">
      <c r="B3" s="112"/>
      <c r="C3" s="112"/>
      <c r="D3" s="112"/>
      <c r="E3" s="112"/>
      <c r="F3" s="112"/>
      <c r="G3" s="112"/>
      <c r="H3" s="112"/>
      <c r="I3" s="112"/>
      <c r="J3" s="112"/>
    </row>
    <row r="4" spans="1:16" ht="15.75" customHeight="1" x14ac:dyDescent="0.25">
      <c r="B4" s="112"/>
      <c r="C4" s="112"/>
      <c r="D4" s="112"/>
      <c r="E4" s="112"/>
      <c r="F4" s="112"/>
      <c r="G4" s="112"/>
      <c r="H4" s="112"/>
      <c r="I4" s="112"/>
      <c r="J4" s="112"/>
    </row>
    <row r="5" spans="1:16" s="17" customFormat="1" ht="27.6" x14ac:dyDescent="0.25">
      <c r="A5" s="16"/>
      <c r="B5" s="1044" t="s">
        <v>377</v>
      </c>
      <c r="C5" s="1049"/>
      <c r="D5" s="1049"/>
      <c r="E5" s="1049"/>
      <c r="F5" s="1049"/>
      <c r="G5" s="1049"/>
      <c r="H5" s="1049"/>
      <c r="I5" s="1049"/>
      <c r="J5" s="1049"/>
    </row>
    <row r="6" spans="1:16" s="17" customFormat="1" ht="9" customHeight="1" x14ac:dyDescent="0.25">
      <c r="A6" s="16"/>
      <c r="B6" s="119"/>
      <c r="C6" s="118"/>
      <c r="D6" s="118"/>
      <c r="E6" s="118"/>
      <c r="F6" s="118"/>
      <c r="G6" s="118"/>
      <c r="H6" s="118"/>
      <c r="I6" s="118"/>
      <c r="J6" s="118"/>
    </row>
    <row r="7" spans="1:16" s="17" customFormat="1" ht="16.5" customHeight="1" x14ac:dyDescent="0.25">
      <c r="A7" s="16"/>
      <c r="B7" s="140" t="s">
        <v>0</v>
      </c>
      <c r="C7" s="431"/>
      <c r="D7" s="431"/>
      <c r="E7" s="431"/>
      <c r="F7" s="1019"/>
      <c r="G7" s="431"/>
      <c r="H7" s="431"/>
      <c r="I7" s="1019"/>
      <c r="J7" s="1019"/>
    </row>
    <row r="8" spans="1:16" s="17" customFormat="1" ht="22.5" customHeight="1" x14ac:dyDescent="0.25">
      <c r="A8" s="16"/>
      <c r="B8" s="951" t="s">
        <v>264</v>
      </c>
      <c r="C8" s="952" t="s">
        <v>274</v>
      </c>
      <c r="D8" s="952" t="s">
        <v>360</v>
      </c>
      <c r="E8" s="952" t="s">
        <v>397</v>
      </c>
      <c r="F8" s="952" t="s">
        <v>416</v>
      </c>
      <c r="G8" s="952" t="s">
        <v>446</v>
      </c>
      <c r="H8" s="952" t="s">
        <v>455</v>
      </c>
      <c r="I8" s="952" t="s">
        <v>496</v>
      </c>
      <c r="J8" s="952" t="s">
        <v>559</v>
      </c>
    </row>
    <row r="9" spans="1:16" s="17" customFormat="1" ht="22.5" customHeight="1" x14ac:dyDescent="0.25">
      <c r="A9" s="16"/>
      <c r="B9" s="953" t="s">
        <v>619</v>
      </c>
      <c r="C9" s="144">
        <v>90.584107119999999</v>
      </c>
      <c r="D9" s="145">
        <v>95.583454500000016</v>
      </c>
      <c r="E9" s="145">
        <v>98.81072524999999</v>
      </c>
      <c r="F9" s="145">
        <v>111.27317176</v>
      </c>
      <c r="G9" s="145">
        <v>97.660254000000009</v>
      </c>
      <c r="H9" s="145">
        <v>101.57378199999999</v>
      </c>
      <c r="I9" s="145">
        <v>97.577922000000001</v>
      </c>
      <c r="J9" s="773">
        <v>117.30483575000001</v>
      </c>
      <c r="M9" s="71"/>
    </row>
    <row r="10" spans="1:16" s="17" customFormat="1" ht="22.5" customHeight="1" x14ac:dyDescent="0.25">
      <c r="A10" s="16"/>
      <c r="B10" s="953" t="s">
        <v>618</v>
      </c>
      <c r="C10" s="144">
        <v>9.6033038800000003</v>
      </c>
      <c r="D10" s="145">
        <v>4.2904095</v>
      </c>
      <c r="E10" s="145">
        <v>1.837108</v>
      </c>
      <c r="F10" s="145">
        <v>38.653692239999998</v>
      </c>
      <c r="G10" s="145">
        <v>0</v>
      </c>
      <c r="H10" s="145">
        <v>0</v>
      </c>
      <c r="I10" s="145">
        <v>0</v>
      </c>
      <c r="J10" s="773">
        <v>15.1</v>
      </c>
    </row>
    <row r="11" spans="1:16" s="17" customFormat="1" ht="22.5" customHeight="1" x14ac:dyDescent="0.25">
      <c r="A11" s="16"/>
      <c r="B11" s="953" t="s">
        <v>557</v>
      </c>
      <c r="C11" s="144">
        <v>0.680589</v>
      </c>
      <c r="D11" s="145">
        <v>0.92813599999999996</v>
      </c>
      <c r="E11" s="145">
        <v>1.0070220000000001</v>
      </c>
      <c r="F11" s="145">
        <v>1.7921360000000002</v>
      </c>
      <c r="G11" s="145">
        <v>1.4327460000000001</v>
      </c>
      <c r="H11" s="145">
        <v>1.8892179999999998</v>
      </c>
      <c r="I11" s="145">
        <v>1.8650780000000002</v>
      </c>
      <c r="J11" s="773">
        <v>3.9085359999999998</v>
      </c>
    </row>
    <row r="12" spans="1:16" s="17" customFormat="1" ht="22.5" customHeight="1" x14ac:dyDescent="0.25">
      <c r="A12" s="16"/>
      <c r="B12" s="953" t="s">
        <v>651</v>
      </c>
      <c r="C12" s="144"/>
      <c r="D12" s="145"/>
      <c r="E12" s="145"/>
      <c r="F12" s="145"/>
      <c r="G12" s="145"/>
      <c r="H12" s="145"/>
      <c r="I12" s="145"/>
      <c r="J12" s="773">
        <v>4.1218070000000004</v>
      </c>
    </row>
    <row r="13" spans="1:16" s="17" customFormat="1" ht="22.5" customHeight="1" x14ac:dyDescent="0.25">
      <c r="A13" s="16"/>
      <c r="B13" s="954" t="s">
        <v>74</v>
      </c>
      <c r="C13" s="955">
        <f>SUM(C9:C12)</f>
        <v>100.86799999999999</v>
      </c>
      <c r="D13" s="955">
        <f>SUM(D9:D12)</f>
        <v>100.80200000000001</v>
      </c>
      <c r="E13" s="955">
        <f t="shared" ref="E13:I13" si="0">SUM(E9:E12)</f>
        <v>101.65485525</v>
      </c>
      <c r="F13" s="955">
        <f t="shared" si="0"/>
        <v>151.71899999999999</v>
      </c>
      <c r="G13" s="955">
        <f t="shared" si="0"/>
        <v>99.093000000000004</v>
      </c>
      <c r="H13" s="955">
        <f t="shared" si="0"/>
        <v>103.46299999999999</v>
      </c>
      <c r="I13" s="955">
        <f t="shared" si="0"/>
        <v>99.442999999999998</v>
      </c>
      <c r="J13" s="955">
        <f>SUM(J9:J12)</f>
        <v>140.43517875000001</v>
      </c>
      <c r="M13" s="96"/>
    </row>
    <row r="14" spans="1:16" ht="15" customHeight="1" x14ac:dyDescent="0.25">
      <c r="B14" s="265"/>
      <c r="C14" s="265"/>
      <c r="D14" s="265"/>
      <c r="E14" s="265"/>
      <c r="F14" s="265"/>
      <c r="G14" s="265"/>
      <c r="H14" s="265"/>
      <c r="I14" s="265"/>
      <c r="J14" s="265"/>
    </row>
    <row r="15" spans="1:16" s="7" customFormat="1" ht="33.75" customHeight="1" x14ac:dyDescent="0.25">
      <c r="B15" s="951" t="s">
        <v>265</v>
      </c>
      <c r="C15" s="952" t="s">
        <v>274</v>
      </c>
      <c r="D15" s="952" t="s">
        <v>360</v>
      </c>
      <c r="E15" s="952" t="s">
        <v>397</v>
      </c>
      <c r="F15" s="952" t="s">
        <v>416</v>
      </c>
      <c r="G15" s="952" t="s">
        <v>446</v>
      </c>
      <c r="H15" s="952" t="s">
        <v>455</v>
      </c>
      <c r="I15" s="952" t="s">
        <v>496</v>
      </c>
      <c r="J15" s="952" t="s">
        <v>559</v>
      </c>
    </row>
    <row r="16" spans="1:16" s="9" customFormat="1" ht="24.75" customHeight="1" x14ac:dyDescent="0.25">
      <c r="B16" s="326" t="s">
        <v>75</v>
      </c>
      <c r="C16" s="401">
        <v>6.5122675299999999</v>
      </c>
      <c r="D16" s="403">
        <v>6.7163214799999986</v>
      </c>
      <c r="E16" s="403">
        <v>6.6413637200000029</v>
      </c>
      <c r="F16" s="403">
        <v>5.841734559999999</v>
      </c>
      <c r="G16" s="403">
        <v>6.6830210599999997</v>
      </c>
      <c r="H16" s="403">
        <v>6.9214312900000028</v>
      </c>
      <c r="I16" s="403">
        <v>6.484388059999997</v>
      </c>
      <c r="J16" s="956">
        <v>5.5923952000000074</v>
      </c>
      <c r="L16" s="38"/>
      <c r="M16" s="881"/>
      <c r="N16" s="881"/>
      <c r="O16" s="38"/>
      <c r="P16" s="70"/>
    </row>
    <row r="17" spans="2:16" s="9" customFormat="1" ht="24.75" customHeight="1" x14ac:dyDescent="0.25">
      <c r="B17" s="326" t="s">
        <v>142</v>
      </c>
      <c r="C17" s="401">
        <v>9.0210918300000014</v>
      </c>
      <c r="D17" s="403">
        <v>7.6572765000000009</v>
      </c>
      <c r="E17" s="403">
        <v>7.991231379999995</v>
      </c>
      <c r="F17" s="403">
        <v>7.3629195200000002</v>
      </c>
      <c r="G17" s="403">
        <v>8.5886146599999993</v>
      </c>
      <c r="H17" s="403">
        <v>8.1927025499999999</v>
      </c>
      <c r="I17" s="403">
        <v>7.3508940300000019</v>
      </c>
      <c r="J17" s="956">
        <v>7.9515649999999969</v>
      </c>
      <c r="L17" s="38"/>
      <c r="M17" s="881"/>
      <c r="N17" s="881"/>
      <c r="O17" s="38"/>
      <c r="P17" s="70"/>
    </row>
    <row r="18" spans="2:16" s="9" customFormat="1" ht="24.75" customHeight="1" x14ac:dyDescent="0.25">
      <c r="B18" s="326" t="s">
        <v>228</v>
      </c>
      <c r="C18" s="401">
        <v>2.384275060000002</v>
      </c>
      <c r="D18" s="403">
        <v>4.6346469599999978</v>
      </c>
      <c r="E18" s="403">
        <v>9.3269085290000007</v>
      </c>
      <c r="F18" s="403">
        <v>10.07811298</v>
      </c>
      <c r="G18" s="403">
        <v>7.8583473609999999</v>
      </c>
      <c r="H18" s="403">
        <v>7.5009675189999996</v>
      </c>
      <c r="I18" s="403">
        <v>9.7916456690000011</v>
      </c>
      <c r="J18" s="956">
        <v>6.6443150610000021</v>
      </c>
      <c r="L18" s="38"/>
      <c r="M18" s="881"/>
      <c r="N18" s="881"/>
      <c r="O18" s="38"/>
      <c r="P18" s="70"/>
    </row>
    <row r="19" spans="2:16" s="9" customFormat="1" ht="24.75" customHeight="1" x14ac:dyDescent="0.25">
      <c r="B19" s="326" t="s">
        <v>76</v>
      </c>
      <c r="C19" s="401">
        <v>6.3150429799999994</v>
      </c>
      <c r="D19" s="403">
        <v>9.5400191999999997</v>
      </c>
      <c r="E19" s="403">
        <v>7.3300495800000007</v>
      </c>
      <c r="F19" s="403">
        <v>7.4460660599999997</v>
      </c>
      <c r="G19" s="403">
        <v>7.7682012</v>
      </c>
      <c r="H19" s="403">
        <v>7.9042192699999987</v>
      </c>
      <c r="I19" s="403">
        <v>8.3444409599999982</v>
      </c>
      <c r="J19" s="956">
        <v>8.942815030000002</v>
      </c>
      <c r="L19" s="38"/>
      <c r="M19" s="881"/>
      <c r="N19" s="881"/>
      <c r="O19" s="38"/>
      <c r="P19" s="70"/>
    </row>
    <row r="20" spans="2:16" s="9" customFormat="1" ht="24.75" customHeight="1" x14ac:dyDescent="0.25">
      <c r="B20" s="326" t="s">
        <v>77</v>
      </c>
      <c r="C20" s="401">
        <v>24.069207430000006</v>
      </c>
      <c r="D20" s="403">
        <v>13.258684430000002</v>
      </c>
      <c r="E20" s="403">
        <v>12.814937989999997</v>
      </c>
      <c r="F20" s="403">
        <v>11.490254570000005</v>
      </c>
      <c r="G20" s="403">
        <v>27.367000000000001</v>
      </c>
      <c r="H20" s="403">
        <v>13.099143960000001</v>
      </c>
      <c r="I20" s="403">
        <v>11.789</v>
      </c>
      <c r="J20" s="956">
        <v>11.777259629999998</v>
      </c>
      <c r="L20" s="38"/>
      <c r="M20" s="881"/>
      <c r="N20" s="881"/>
      <c r="O20" s="38"/>
      <c r="P20" s="70"/>
    </row>
    <row r="21" spans="2:16" s="9" customFormat="1" ht="24.75" customHeight="1" x14ac:dyDescent="0.25">
      <c r="B21" s="326" t="s">
        <v>78</v>
      </c>
      <c r="C21" s="401">
        <v>0.26867770000000002</v>
      </c>
      <c r="D21" s="403">
        <v>0.26867770000000002</v>
      </c>
      <c r="E21" s="403">
        <v>0.80603309999999995</v>
      </c>
      <c r="F21" s="403">
        <v>0.22339217</v>
      </c>
      <c r="G21" s="403">
        <v>0.31421676999999998</v>
      </c>
      <c r="H21" s="403">
        <v>0.25588345000000007</v>
      </c>
      <c r="I21" s="403">
        <v>0.25800000000000001</v>
      </c>
      <c r="J21" s="956">
        <v>0.25742524999999983</v>
      </c>
      <c r="L21" s="38"/>
      <c r="M21" s="881"/>
      <c r="N21" s="881"/>
      <c r="O21" s="38"/>
      <c r="P21" s="70"/>
    </row>
    <row r="22" spans="2:16" s="9" customFormat="1" ht="24.75" customHeight="1" x14ac:dyDescent="0.25">
      <c r="B22" s="326" t="s">
        <v>614</v>
      </c>
      <c r="C22" s="401">
        <v>0.49982399999999999</v>
      </c>
      <c r="D22" s="403">
        <v>0.44047700000000001</v>
      </c>
      <c r="E22" s="403">
        <v>1.081002</v>
      </c>
      <c r="F22" s="403">
        <v>3.8690829999999998</v>
      </c>
      <c r="G22" s="403">
        <v>2.6168139900000003</v>
      </c>
      <c r="H22" s="403">
        <v>2.4826173599999994</v>
      </c>
      <c r="I22" s="403">
        <v>3.5400611799999999</v>
      </c>
      <c r="J22" s="956">
        <v>4.6593085800000011</v>
      </c>
      <c r="L22" s="38"/>
      <c r="M22" s="881"/>
      <c r="N22" s="881"/>
      <c r="O22" s="38"/>
      <c r="P22" s="70"/>
    </row>
    <row r="23" spans="2:16" s="9" customFormat="1" ht="24.75" customHeight="1" x14ac:dyDescent="0.25">
      <c r="B23" s="326" t="s">
        <v>653</v>
      </c>
      <c r="C23" s="401"/>
      <c r="D23" s="403"/>
      <c r="E23" s="403"/>
      <c r="F23" s="403"/>
      <c r="G23" s="403">
        <v>0</v>
      </c>
      <c r="H23" s="403">
        <v>0</v>
      </c>
      <c r="I23" s="403">
        <v>0</v>
      </c>
      <c r="J23" s="956">
        <v>2.610738</v>
      </c>
      <c r="L23" s="38"/>
      <c r="M23" s="881"/>
      <c r="N23" s="881"/>
      <c r="O23" s="38"/>
      <c r="P23" s="70"/>
    </row>
    <row r="24" spans="2:16" s="9" customFormat="1" ht="24.75" customHeight="1" x14ac:dyDescent="0.25">
      <c r="B24" s="326" t="s">
        <v>650</v>
      </c>
      <c r="C24" s="401"/>
      <c r="D24" s="403"/>
      <c r="E24" s="403"/>
      <c r="F24" s="403"/>
      <c r="G24" s="403">
        <v>2.3590399999999998</v>
      </c>
      <c r="H24" s="403">
        <v>3.3609599999999999</v>
      </c>
      <c r="I24" s="403">
        <v>4.8479999999999999</v>
      </c>
      <c r="J24" s="956">
        <v>6.8119699999999996</v>
      </c>
      <c r="L24" s="38"/>
      <c r="M24" s="980"/>
      <c r="N24" s="881"/>
      <c r="O24" s="38"/>
      <c r="P24" s="70"/>
    </row>
    <row r="25" spans="2:16" s="9" customFormat="1" ht="24.75" customHeight="1" x14ac:dyDescent="0.25">
      <c r="B25" s="326" t="s">
        <v>654</v>
      </c>
      <c r="C25" s="401">
        <v>23.820681160000003</v>
      </c>
      <c r="D25" s="403">
        <v>30.739034099999987</v>
      </c>
      <c r="E25" s="403">
        <v>29.407317591000055</v>
      </c>
      <c r="F25" s="403">
        <v>35.252407649999938</v>
      </c>
      <c r="G25" s="403">
        <v>30.173867678999997</v>
      </c>
      <c r="H25" s="403">
        <v>26.313495930999999</v>
      </c>
      <c r="I25" s="403">
        <v>25.976340840999999</v>
      </c>
      <c r="J25" s="956">
        <v>25.630268238999999</v>
      </c>
      <c r="L25" s="38"/>
      <c r="M25" s="881"/>
      <c r="N25" s="881"/>
      <c r="O25" s="38"/>
      <c r="P25" s="70"/>
    </row>
    <row r="26" spans="2:16" s="9" customFormat="1" ht="24.75" customHeight="1" x14ac:dyDescent="0.25">
      <c r="B26" s="954" t="s">
        <v>74</v>
      </c>
      <c r="C26" s="955">
        <f>SUM(C16:C25)</f>
        <v>72.891067690000014</v>
      </c>
      <c r="D26" s="955">
        <f>SUM(D16:D25)</f>
        <v>73.255137369999986</v>
      </c>
      <c r="E26" s="955">
        <f t="shared" ref="E26:J26" si="1">SUM(E16:E25)</f>
        <v>75.398843890000052</v>
      </c>
      <c r="F26" s="955">
        <f t="shared" si="1"/>
        <v>81.563970509999933</v>
      </c>
      <c r="G26" s="955">
        <f t="shared" si="1"/>
        <v>93.729122719999992</v>
      </c>
      <c r="H26" s="955">
        <f t="shared" si="1"/>
        <v>76.031421330000001</v>
      </c>
      <c r="I26" s="955">
        <f t="shared" si="1"/>
        <v>78.382770739999998</v>
      </c>
      <c r="J26" s="955">
        <f t="shared" si="1"/>
        <v>80.878059990000011</v>
      </c>
      <c r="L26" s="38"/>
      <c r="M26" s="881"/>
      <c r="N26" s="881"/>
      <c r="O26" s="38"/>
      <c r="P26" s="70"/>
    </row>
    <row r="27" spans="2:16" ht="15" customHeight="1" x14ac:dyDescent="0.25">
      <c r="B27" s="433"/>
      <c r="C27" s="434"/>
      <c r="D27" s="434"/>
      <c r="E27" s="434"/>
      <c r="F27" s="434"/>
      <c r="G27" s="434"/>
      <c r="H27" s="434"/>
      <c r="I27" s="434"/>
      <c r="J27" s="434"/>
      <c r="K27" s="44"/>
      <c r="L27" s="38"/>
    </row>
    <row r="28" spans="2:16" ht="24" customHeight="1" x14ac:dyDescent="0.25">
      <c r="B28" s="951" t="s">
        <v>602</v>
      </c>
      <c r="C28" s="952" t="s">
        <v>274</v>
      </c>
      <c r="D28" s="952" t="s">
        <v>360</v>
      </c>
      <c r="E28" s="952" t="s">
        <v>397</v>
      </c>
      <c r="F28" s="952" t="s">
        <v>416</v>
      </c>
      <c r="G28" s="952" t="s">
        <v>446</v>
      </c>
      <c r="H28" s="952" t="s">
        <v>455</v>
      </c>
      <c r="I28" s="952" t="s">
        <v>496</v>
      </c>
      <c r="J28" s="952" t="s">
        <v>559</v>
      </c>
      <c r="K28" s="44"/>
      <c r="L28" s="38"/>
    </row>
    <row r="29" spans="2:16" ht="25.5" customHeight="1" x14ac:dyDescent="0.25">
      <c r="B29" s="326" t="s">
        <v>615</v>
      </c>
      <c r="C29" s="401">
        <v>28.523872999999998</v>
      </c>
      <c r="D29" s="401">
        <v>29.098357999999998</v>
      </c>
      <c r="E29" s="401">
        <v>30.172128739999994</v>
      </c>
      <c r="F29" s="401">
        <v>30.716003000000001</v>
      </c>
      <c r="G29" s="401">
        <v>30.612130000000001</v>
      </c>
      <c r="H29" s="401">
        <v>31.796411000000003</v>
      </c>
      <c r="I29" s="401">
        <v>32.730969000000002</v>
      </c>
      <c r="J29" s="956">
        <v>33.340471999999998</v>
      </c>
      <c r="K29" s="44"/>
      <c r="L29" s="38"/>
    </row>
    <row r="30" spans="2:16" ht="25.5" customHeight="1" x14ac:dyDescent="0.25">
      <c r="B30" s="326" t="s">
        <v>557</v>
      </c>
      <c r="C30" s="401">
        <v>9.1127E-2</v>
      </c>
      <c r="D30" s="401">
        <v>9.5641999999999991E-2</v>
      </c>
      <c r="E30" s="401">
        <v>0.37910799999999995</v>
      </c>
      <c r="F30" s="401">
        <v>-0.15800299999999995</v>
      </c>
      <c r="G30" s="401">
        <v>0.53886999999999996</v>
      </c>
      <c r="H30" s="401">
        <v>0.556589</v>
      </c>
      <c r="I30" s="401">
        <v>0.64603100000000002</v>
      </c>
      <c r="J30" s="956">
        <v>0.94329399999999985</v>
      </c>
      <c r="K30" s="44"/>
      <c r="L30" s="38"/>
    </row>
    <row r="31" spans="2:16" ht="25.5" customHeight="1" x14ac:dyDescent="0.25">
      <c r="B31" s="326" t="s">
        <v>653</v>
      </c>
      <c r="C31" s="401"/>
      <c r="D31" s="401"/>
      <c r="E31" s="401"/>
      <c r="F31" s="401"/>
      <c r="G31" s="401"/>
      <c r="H31" s="401"/>
      <c r="I31" s="401"/>
      <c r="J31" s="956">
        <v>0.39323399999999997</v>
      </c>
      <c r="K31" s="44"/>
      <c r="L31" s="38"/>
    </row>
    <row r="32" spans="2:16" ht="24" customHeight="1" x14ac:dyDescent="0.25">
      <c r="B32" s="954" t="s">
        <v>616</v>
      </c>
      <c r="C32" s="955">
        <f>SUM(C29:C31)</f>
        <v>28.614999999999998</v>
      </c>
      <c r="D32" s="955">
        <f t="shared" ref="D32:I32" si="2">SUM(D29:D31)</f>
        <v>29.193999999999999</v>
      </c>
      <c r="E32" s="955">
        <f t="shared" si="2"/>
        <v>30.551236739999993</v>
      </c>
      <c r="F32" s="955">
        <f t="shared" si="2"/>
        <v>30.558</v>
      </c>
      <c r="G32" s="955">
        <f t="shared" si="2"/>
        <v>31.151</v>
      </c>
      <c r="H32" s="955">
        <f t="shared" si="2"/>
        <v>32.353000000000002</v>
      </c>
      <c r="I32" s="955">
        <f t="shared" si="2"/>
        <v>33.377000000000002</v>
      </c>
      <c r="J32" s="955">
        <f>SUM(J29:J31)</f>
        <v>34.677</v>
      </c>
      <c r="K32" s="44"/>
      <c r="L32" s="38"/>
    </row>
    <row r="33" spans="2:12" ht="15" customHeight="1" x14ac:dyDescent="0.25">
      <c r="B33" s="957"/>
      <c r="C33" s="480"/>
      <c r="D33" s="480"/>
      <c r="E33" s="480"/>
      <c r="F33" s="480"/>
      <c r="G33" s="480"/>
      <c r="H33" s="480"/>
      <c r="I33" s="480"/>
      <c r="J33" s="480"/>
      <c r="K33" s="44"/>
      <c r="L33" s="38"/>
    </row>
    <row r="34" spans="2:12" ht="20.25" customHeight="1" x14ac:dyDescent="0.25">
      <c r="B34" s="954" t="s">
        <v>617</v>
      </c>
      <c r="C34" s="955">
        <f>C13+C26+C32</f>
        <v>202.37406769</v>
      </c>
      <c r="D34" s="955">
        <f t="shared" ref="D34:I34" si="3">D13+D26+D32</f>
        <v>203.25113736999998</v>
      </c>
      <c r="E34" s="955">
        <f t="shared" si="3"/>
        <v>207.60493588000003</v>
      </c>
      <c r="F34" s="955">
        <f t="shared" si="3"/>
        <v>263.84097050999992</v>
      </c>
      <c r="G34" s="955">
        <f t="shared" si="3"/>
        <v>223.97312271999999</v>
      </c>
      <c r="H34" s="955">
        <f t="shared" si="3"/>
        <v>211.84742133</v>
      </c>
      <c r="I34" s="955">
        <f t="shared" si="3"/>
        <v>211.20277074000001</v>
      </c>
      <c r="J34" s="955">
        <f>J13+J26+J32</f>
        <v>255.99023874000002</v>
      </c>
      <c r="K34" s="44"/>
      <c r="L34" s="38"/>
    </row>
    <row r="35" spans="2:12" ht="15" customHeight="1" x14ac:dyDescent="0.25">
      <c r="B35" s="433"/>
      <c r="C35" s="434"/>
      <c r="D35" s="434"/>
      <c r="E35" s="434"/>
      <c r="F35" s="434"/>
      <c r="G35" s="434"/>
      <c r="H35" s="434"/>
      <c r="I35" s="434"/>
      <c r="J35" s="434"/>
      <c r="K35" s="44"/>
      <c r="L35" s="38"/>
    </row>
    <row r="36" spans="2:12" ht="17.25" customHeight="1" x14ac:dyDescent="0.25">
      <c r="B36" s="1050" t="s">
        <v>655</v>
      </c>
      <c r="C36" s="1050"/>
      <c r="D36" s="327"/>
      <c r="E36" s="327"/>
      <c r="F36" s="327"/>
      <c r="G36" s="327"/>
      <c r="H36" s="327"/>
      <c r="I36" s="327"/>
      <c r="J36" s="327"/>
    </row>
    <row r="37" spans="2:12" ht="15" customHeight="1" x14ac:dyDescent="0.25">
      <c r="B37" s="1050" t="s">
        <v>652</v>
      </c>
      <c r="C37" s="1050"/>
      <c r="D37" s="1050"/>
      <c r="E37" s="1050"/>
      <c r="F37" s="1050"/>
      <c r="G37" s="1050"/>
      <c r="H37" s="1050"/>
      <c r="I37" s="1050"/>
      <c r="J37" s="1050"/>
    </row>
    <row r="38" spans="2:12" ht="15.75" customHeight="1" x14ac:dyDescent="0.25">
      <c r="B38" s="1050"/>
      <c r="C38" s="1050"/>
      <c r="D38" s="1050"/>
      <c r="E38" s="1050"/>
      <c r="F38" s="1050"/>
      <c r="G38" s="1050"/>
      <c r="H38" s="1050"/>
      <c r="I38" s="1050"/>
      <c r="J38" s="1050"/>
    </row>
    <row r="39" spans="2:12" ht="24.75" customHeight="1" x14ac:dyDescent="0.25">
      <c r="B39" s="37"/>
      <c r="C39" s="37"/>
      <c r="D39" s="37"/>
      <c r="E39" s="37"/>
      <c r="F39" s="37"/>
      <c r="G39" s="37"/>
      <c r="H39" s="37"/>
      <c r="I39" s="37"/>
      <c r="J39" s="37"/>
    </row>
    <row r="40" spans="2:12" x14ac:dyDescent="0.25">
      <c r="F40" s="1007"/>
      <c r="G40" s="1007"/>
      <c r="H40" s="1007"/>
      <c r="I40" s="1007"/>
      <c r="J40" s="1007"/>
    </row>
  </sheetData>
  <mergeCells count="4">
    <mergeCell ref="B5:J5"/>
    <mergeCell ref="B37:J37"/>
    <mergeCell ref="B38:J38"/>
    <mergeCell ref="B36:C36"/>
  </mergeCells>
  <hyperlinks>
    <hyperlink ref="J2" location="'Cover '!A1" display="Back to Cover" xr:uid="{7D25B963-41F9-47CA-8282-B5E2D66E19C1}"/>
  </hyperlinks>
  <pageMargins left="0.7" right="0.7" top="0.75" bottom="0.75" header="0.3" footer="0.3"/>
  <pageSetup scale="64"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23</vt:i4>
      </vt:variant>
      <vt:variant>
        <vt:lpstr>Named Ranges</vt:lpstr>
      </vt:variant>
      <vt:variant>
        <vt:i4>28</vt:i4>
      </vt:variant>
    </vt:vector>
  </HeadingPairs>
  <TitlesOfParts>
    <vt:vector size="51" baseType="lpstr">
      <vt:lpstr>Cover </vt:lpstr>
      <vt:lpstr>Financial highlights</vt:lpstr>
      <vt:lpstr>EPS calculations</vt:lpstr>
      <vt:lpstr>Balance sheet</vt:lpstr>
      <vt:lpstr> Analysis of selected BS items</vt:lpstr>
      <vt:lpstr>PL</vt:lpstr>
      <vt:lpstr>NII</vt:lpstr>
      <vt:lpstr>NFI</vt:lpstr>
      <vt:lpstr>OPEX</vt:lpstr>
      <vt:lpstr>PL segment view</vt:lpstr>
      <vt:lpstr>PL Snappi</vt:lpstr>
      <vt:lpstr>Net credit expansion</vt:lpstr>
      <vt:lpstr>Performing loans</vt:lpstr>
      <vt:lpstr>Loan portfolio quality</vt:lpstr>
      <vt:lpstr>IFRS9 stages</vt:lpstr>
      <vt:lpstr>NPE flow decomposition</vt:lpstr>
      <vt:lpstr>Capital adequacy</vt:lpstr>
      <vt:lpstr>Ethniki Insurance</vt:lpstr>
      <vt:lpstr>Debt securities</vt:lpstr>
      <vt:lpstr>Synthetic securitizations</vt:lpstr>
      <vt:lpstr>Dividends &amp; share buy back</vt:lpstr>
      <vt:lpstr>Customers' data</vt:lpstr>
      <vt:lpstr>Other information</vt:lpstr>
      <vt:lpstr>NPE_flow_decomposition</vt:lpstr>
      <vt:lpstr>' Analysis of selected BS items'!Print_Area</vt:lpstr>
      <vt:lpstr>'Balance sheet'!Print_Area</vt:lpstr>
      <vt:lpstr>'Capital adequacy'!Print_Area</vt:lpstr>
      <vt:lpstr>'Cover '!Print_Area</vt:lpstr>
      <vt:lpstr>'Customers'' data'!Print_Area</vt:lpstr>
      <vt:lpstr>'Debt securities'!Print_Area</vt:lpstr>
      <vt:lpstr>'Dividends &amp; share buy back'!Print_Area</vt:lpstr>
      <vt:lpstr>'EPS calculations'!Print_Area</vt:lpstr>
      <vt:lpstr>'Ethniki Insurance'!Print_Area</vt:lpstr>
      <vt:lpstr>'Financial highlights'!Print_Area</vt:lpstr>
      <vt:lpstr>'IFRS9 stages'!Print_Area</vt:lpstr>
      <vt:lpstr>'Loan portfolio quality'!Print_Area</vt:lpstr>
      <vt:lpstr>'Net credit expansion'!Print_Area</vt:lpstr>
      <vt:lpstr>NFI!Print_Area</vt:lpstr>
      <vt:lpstr>NII!Print_Area</vt:lpstr>
      <vt:lpstr>'NPE flow decomposition'!Print_Area</vt:lpstr>
      <vt:lpstr>OPEX!Print_Area</vt:lpstr>
      <vt:lpstr>'Other information'!Print_Area</vt:lpstr>
      <vt:lpstr>'Performing loans'!Print_Area</vt:lpstr>
      <vt:lpstr>PL!Print_Area</vt:lpstr>
      <vt:lpstr>'PL segment view'!Print_Area</vt:lpstr>
      <vt:lpstr>'Synthetic securitizations'!Print_Area</vt:lpstr>
      <vt:lpstr>'Capital adequacy'!Print_Titles</vt:lpstr>
      <vt:lpstr>'Other information'!Print_Titles</vt:lpstr>
      <vt:lpstr>PL!Print_Titles</vt:lpstr>
      <vt:lpstr>'PL segment view'!Print_Titles</vt:lpstr>
      <vt:lpstr>'PL Snappi'!Print_Titles</vt:lpstr>
    </vt:vector>
  </TitlesOfParts>
  <Company>PIRAEUSBANK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Piraeus Bank Results</dc:title>
  <dc:creator>IR@piraeusholdings.gr</dc:creator>
  <cp:keywords>2014</cp:keywords>
  <cp:lastModifiedBy>Papageorgiou Evangelia</cp:lastModifiedBy>
  <cp:lastPrinted>2025-10-30T14:05:10Z</cp:lastPrinted>
  <dcterms:created xsi:type="dcterms:W3CDTF">2005-02-23T10:11:28Z</dcterms:created>
  <dcterms:modified xsi:type="dcterms:W3CDTF">2026-02-26T20:43:41Z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MSIP_Label_958c1004-b24f-4bde-8aad-2ae45b2e013d_Enabled">
    <vt:lpwstr>true</vt:lpwstr>
  </property>
  <property fmtid="{D5CDD505-2E9C-101B-9397-08002B2CF9AE}" pid="4" name="MSIP_Label_958c1004-b24f-4bde-8aad-2ae45b2e013d_SetDate">
    <vt:lpwstr>2022-05-04T13:11:18Z</vt:lpwstr>
  </property>
  <property fmtid="{D5CDD505-2E9C-101B-9397-08002B2CF9AE}" pid="5" name="MSIP_Label_958c1004-b24f-4bde-8aad-2ae45b2e013d_Method">
    <vt:lpwstr>Standard</vt:lpwstr>
  </property>
  <property fmtid="{D5CDD505-2E9C-101B-9397-08002B2CF9AE}" pid="6" name="MSIP_Label_958c1004-b24f-4bde-8aad-2ae45b2e013d_Name">
    <vt:lpwstr>Internal Use</vt:lpwstr>
  </property>
  <property fmtid="{D5CDD505-2E9C-101B-9397-08002B2CF9AE}" pid="7" name="MSIP_Label_958c1004-b24f-4bde-8aad-2ae45b2e013d_SiteId">
    <vt:lpwstr>4f1b3dbb-846d-4206-92b5-ac1cf048dbb2</vt:lpwstr>
  </property>
  <property fmtid="{D5CDD505-2E9C-101B-9397-08002B2CF9AE}" pid="8" name="MSIP_Label_958c1004-b24f-4bde-8aad-2ae45b2e013d_ActionId">
    <vt:lpwstr>8a4fb628-3f3e-4ff6-962d-dc00159c9c3e</vt:lpwstr>
  </property>
  <property fmtid="{D5CDD505-2E9C-101B-9397-08002B2CF9AE}" pid="9" name="MSIP_Label_958c1004-b24f-4bde-8aad-2ae45b2e013d_ContentBits">
    <vt:lpwstr>0</vt:lpwstr>
  </property>
</Properties>
</file>