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K:\ΣΤΟΙΧΕΙΑ ΤΡΙΜΗΝΙΑΙΑ\ΣΥΓΚΕΝΤΡΩΤΙΚΑ ΑΡΧΕΙΑ\IR Tool Website\2026\Q2.26\"/>
    </mc:Choice>
  </mc:AlternateContent>
  <xr:revisionPtr revIDLastSave="0" documentId="13_ncr:1_{12B32C02-35AE-41AC-9C7E-7B2292A57997}" xr6:coauthVersionLast="47" xr6:coauthVersionMax="47" xr10:uidLastSave="{00000000-0000-0000-0000-000000000000}"/>
  <bookViews>
    <workbookView xWindow="390" yWindow="390" windowWidth="25800" windowHeight="20880" tabRatio="670" firstSheet="6" activeTab="6" xr2:uid="{00000000-000D-0000-FFFF-FFFF00000000}"/>
  </bookViews>
  <sheets>
    <sheet name="Cover " sheetId="22" r:id="rId1"/>
    <sheet name="Financial highlights" sheetId="49" r:id="rId2"/>
    <sheet name="EPS calculations" sheetId="50" r:id="rId3"/>
    <sheet name="Balance sheet" sheetId="33" r:id="rId4"/>
    <sheet name=" Analysis of selected BS items" sheetId="34" r:id="rId5"/>
    <sheet name="PL" sheetId="29" r:id="rId6"/>
    <sheet name="NII" sheetId="42" r:id="rId7"/>
    <sheet name="NFI" sheetId="41" r:id="rId8"/>
    <sheet name="OPEX" sheetId="43" r:id="rId9"/>
    <sheet name="PL segment view" sheetId="47" r:id="rId10"/>
    <sheet name="PL Snappi" sheetId="57" r:id="rId11"/>
    <sheet name="Net credit expansion" sheetId="56" r:id="rId12"/>
    <sheet name="Performing loans" sheetId="48" r:id="rId13"/>
    <sheet name="Loan portfolio quality" sheetId="36" r:id="rId14"/>
    <sheet name="IFRS9 stages" sheetId="46" r:id="rId15"/>
    <sheet name="NPE flow decomposition" sheetId="51" r:id="rId16"/>
    <sheet name="Capital adequacy" sheetId="40" r:id="rId17"/>
    <sheet name="Ethniki Insurance" sheetId="58" r:id="rId18"/>
    <sheet name="Debt securities" sheetId="52" r:id="rId19"/>
    <sheet name="Synthetic securitizations" sheetId="53" r:id="rId20"/>
    <sheet name="Dividends &amp; share buy back" sheetId="54" r:id="rId21"/>
    <sheet name="Customers' data" sheetId="55" r:id="rId22"/>
    <sheet name="Other information" sheetId="35" r:id="rId23"/>
  </sheets>
  <definedNames>
    <definedName name="NPE_flow_decomposition">'Cover '!$E$32</definedName>
    <definedName name="_xlnm.Print_Area" localSheetId="4">' Analysis of selected BS items'!$A$1:$M$88</definedName>
    <definedName name="_xlnm.Print_Area" localSheetId="3">'Balance sheet'!$A$1:$O$48</definedName>
    <definedName name="_xlnm.Print_Area" localSheetId="16">'Capital adequacy'!$A$1:$M$52</definedName>
    <definedName name="_xlnm.Print_Area" localSheetId="0">'Cover '!$A$1:$G$55</definedName>
    <definedName name="_xlnm.Print_Area" localSheetId="21">'Customers'' data'!$A$1:$K$23</definedName>
    <definedName name="_xlnm.Print_Area" localSheetId="18">'Debt securities'!$A$1:$N$28</definedName>
    <definedName name="_xlnm.Print_Area" localSheetId="20">'Dividends &amp; share buy back'!$A$1:$H$29</definedName>
    <definedName name="_xlnm.Print_Area" localSheetId="2">'EPS calculations'!$A$1:$O$55</definedName>
    <definedName name="_xlnm.Print_Area" localSheetId="17">'Ethniki Insurance'!$A$1:$F$42</definedName>
    <definedName name="_xlnm.Print_Area" localSheetId="1">'Financial highlights'!$A$1:$O$68</definedName>
    <definedName name="_xlnm.Print_Area" localSheetId="14">'IFRS9 stages'!$A$1:$M$56</definedName>
    <definedName name="_xlnm.Print_Area" localSheetId="13">'Loan portfolio quality'!$A$1:$M$80</definedName>
    <definedName name="_xlnm.Print_Area" localSheetId="11">'Net credit expansion'!$A$1:$M$26</definedName>
    <definedName name="_xlnm.Print_Area" localSheetId="7">NFI!$A$1:$N$24</definedName>
    <definedName name="_xlnm.Print_Area" localSheetId="6">NII!$A$1:$M$48</definedName>
    <definedName name="_xlnm.Print_Area" localSheetId="15">'NPE flow decomposition'!$A$1:$M$33</definedName>
    <definedName name="_xlnm.Print_Area" localSheetId="8">OPEX!$A$1:$M$38</definedName>
    <definedName name="_xlnm.Print_Area" localSheetId="22">'Other information'!$A$1:$M$60</definedName>
    <definedName name="_xlnm.Print_Area" localSheetId="12">'Performing loans'!$A$1:$M$36</definedName>
    <definedName name="_xlnm.Print_Area" localSheetId="5">PL!$A$1:$M$53</definedName>
    <definedName name="_xlnm.Print_Area" localSheetId="9">'PL segment view'!$A$1:$N$32</definedName>
    <definedName name="_xlnm.Print_Area" localSheetId="10">'PL Snappi'!$A$1:$I$18</definedName>
    <definedName name="_xlnm.Print_Area" localSheetId="19">'Synthetic securitizations'!$A$1:$J$18</definedName>
    <definedName name="_xlnm.Print_Titles" localSheetId="16">'Capital adequacy'!$B:$L</definedName>
    <definedName name="_xlnm.Print_Titles" localSheetId="22">'Other information'!$1:$6</definedName>
    <definedName name="_xlnm.Print_Titles" localSheetId="5">PL!$1:$3</definedName>
    <definedName name="_xlnm.Print_Titles" localSheetId="9">'PL segment view'!$1:$3</definedName>
    <definedName name="_xlnm.Print_Titles" localSheetId="10">'PL Snappi'!$1:$3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9" i="40" l="1"/>
  <c r="N64" i="49" l="1"/>
  <c r="L64" i="49"/>
  <c r="N65" i="49"/>
  <c r="L65" i="49"/>
  <c r="N45" i="50"/>
  <c r="C26" i="58" l="1"/>
  <c r="C25" i="58"/>
  <c r="C15" i="58" l="1"/>
  <c r="C22" i="58" l="1"/>
  <c r="L15" i="51" l="1"/>
  <c r="E22" i="58" l="1"/>
  <c r="E15" i="58"/>
  <c r="L30" i="40" l="1"/>
  <c r="G20" i="54" l="1"/>
  <c r="G18" i="54"/>
  <c r="G17" i="54"/>
  <c r="G19" i="54"/>
  <c r="G14" i="54"/>
  <c r="E38" i="58" l="1"/>
  <c r="M57" i="49" l="1"/>
  <c r="N44" i="49"/>
  <c r="L54" i="49" l="1"/>
  <c r="N42" i="49"/>
  <c r="N43" i="49" l="1"/>
  <c r="N54" i="49" s="1"/>
  <c r="N39" i="49"/>
  <c r="N49" i="50"/>
  <c r="M49" i="50"/>
  <c r="M45" i="50"/>
  <c r="N36" i="50"/>
  <c r="M36" i="50"/>
  <c r="M53" i="50"/>
  <c r="N27" i="50"/>
  <c r="M27" i="50"/>
  <c r="N53" i="50"/>
  <c r="L14" i="42" l="1"/>
  <c r="L22" i="42"/>
  <c r="L24" i="42" s="1"/>
  <c r="L44" i="35"/>
  <c r="L51" i="36" l="1"/>
  <c r="L52" i="36" l="1"/>
  <c r="L30" i="36"/>
  <c r="L31" i="36" s="1"/>
  <c r="L45" i="36"/>
  <c r="L23" i="36"/>
  <c r="L24" i="36" s="1"/>
  <c r="L44" i="36"/>
  <c r="L16" i="36"/>
  <c r="L53" i="36" l="1"/>
  <c r="L46" i="36"/>
  <c r="L16" i="48" l="1"/>
  <c r="L30" i="33" l="1"/>
  <c r="L79" i="34"/>
  <c r="L29" i="34"/>
  <c r="L40" i="34"/>
  <c r="L34" i="34"/>
  <c r="L47" i="34" l="1"/>
  <c r="L14" i="56" l="1"/>
  <c r="L19" i="56"/>
  <c r="L21" i="56" l="1"/>
  <c r="L54" i="34"/>
  <c r="L59" i="34" s="1"/>
  <c r="L58" i="34" l="1"/>
  <c r="L26" i="43" l="1"/>
  <c r="K54" i="49" l="1"/>
  <c r="K20" i="49" l="1"/>
  <c r="K56" i="49"/>
  <c r="K16" i="49"/>
  <c r="K60" i="49" s="1"/>
  <c r="K21" i="50"/>
  <c r="K25" i="50" s="1"/>
  <c r="K31" i="50" s="1"/>
  <c r="K34" i="50" s="1"/>
  <c r="K46" i="50"/>
  <c r="K61" i="49" l="1"/>
  <c r="K22" i="49"/>
  <c r="K28" i="49" s="1"/>
  <c r="K28" i="50"/>
  <c r="K29" i="50" s="1"/>
  <c r="K40" i="50"/>
  <c r="K47" i="50" s="1"/>
  <c r="K50" i="50" s="1"/>
  <c r="K51" i="50" s="1"/>
  <c r="K37" i="50"/>
  <c r="K38" i="50" s="1"/>
  <c r="K23" i="49" l="1"/>
  <c r="K29" i="49" s="1"/>
  <c r="K36" i="49"/>
  <c r="K33" i="49"/>
  <c r="K47" i="49" l="1"/>
  <c r="K55" i="49"/>
  <c r="K35" i="49"/>
  <c r="K49" i="49"/>
  <c r="K48" i="49" l="1"/>
  <c r="N46" i="33" l="1"/>
  <c r="N45" i="33"/>
  <c r="N44" i="33"/>
  <c r="N43" i="33"/>
  <c r="N42" i="33"/>
  <c r="N41" i="33"/>
  <c r="N40" i="33"/>
  <c r="N38" i="33"/>
  <c r="N37" i="33"/>
  <c r="N36" i="33"/>
  <c r="N35" i="33"/>
  <c r="N34" i="33"/>
  <c r="N33" i="33"/>
  <c r="N32" i="33"/>
  <c r="N28" i="33"/>
  <c r="N25" i="33"/>
  <c r="N24" i="33"/>
  <c r="N23" i="33"/>
  <c r="N22" i="33"/>
  <c r="N21" i="33"/>
  <c r="N20" i="33"/>
  <c r="N19" i="33"/>
  <c r="N18" i="33"/>
  <c r="N17" i="33"/>
  <c r="N16" i="33"/>
  <c r="N15" i="33"/>
  <c r="N12" i="33"/>
  <c r="N11" i="33"/>
  <c r="K41" i="29"/>
  <c r="K50" i="40"/>
  <c r="K49" i="40"/>
  <c r="K30" i="40"/>
  <c r="K65" i="49"/>
  <c r="K64" i="49"/>
  <c r="K44" i="35"/>
  <c r="K15" i="51" l="1"/>
  <c r="K29" i="34"/>
  <c r="K19" i="56"/>
  <c r="K40" i="36"/>
  <c r="K14" i="56"/>
  <c r="K34" i="34"/>
  <c r="K40" i="34"/>
  <c r="K14" i="29"/>
  <c r="K76" i="34"/>
  <c r="K57" i="36"/>
  <c r="K15" i="34"/>
  <c r="K14" i="42"/>
  <c r="K22" i="42"/>
  <c r="K65" i="36"/>
  <c r="K66" i="36"/>
  <c r="K79" i="34"/>
  <c r="K59" i="36"/>
  <c r="K16" i="48"/>
  <c r="K54" i="34"/>
  <c r="K59" i="34" s="1"/>
  <c r="K58" i="34" s="1"/>
  <c r="K16" i="36"/>
  <c r="K60" i="36" s="1"/>
  <c r="K64" i="36"/>
  <c r="K30" i="33"/>
  <c r="N30" i="33" s="1"/>
  <c r="K32" i="43"/>
  <c r="L23" i="41"/>
  <c r="K58" i="36"/>
  <c r="K51" i="36"/>
  <c r="K52" i="36"/>
  <c r="K44" i="36"/>
  <c r="K45" i="29"/>
  <c r="K46" i="29" s="1"/>
  <c r="K72" i="36"/>
  <c r="K17" i="29"/>
  <c r="K73" i="36"/>
  <c r="K13" i="43"/>
  <c r="K26" i="43"/>
  <c r="K24" i="29"/>
  <c r="K66" i="34"/>
  <c r="K21" i="56"/>
  <c r="K23" i="36"/>
  <c r="K45" i="36"/>
  <c r="K30" i="36"/>
  <c r="K71" i="36"/>
  <c r="K16" i="34" l="1"/>
  <c r="K19" i="48"/>
  <c r="K21" i="48" s="1"/>
  <c r="K47" i="34"/>
  <c r="K50" i="36"/>
  <c r="K24" i="34"/>
  <c r="K12" i="48"/>
  <c r="K30" i="48" s="1"/>
  <c r="K43" i="36"/>
  <c r="K83" i="34"/>
  <c r="K24" i="42"/>
  <c r="K17" i="36"/>
  <c r="K61" i="36" s="1"/>
  <c r="K34" i="43"/>
  <c r="K47" i="29"/>
  <c r="K48" i="29" s="1"/>
  <c r="K70" i="34"/>
  <c r="K69" i="34"/>
  <c r="K71" i="34"/>
  <c r="K53" i="36"/>
  <c r="K74" i="36"/>
  <c r="K67" i="36"/>
  <c r="K46" i="36"/>
  <c r="K24" i="36"/>
  <c r="K31" i="36"/>
  <c r="K19" i="34" l="1"/>
  <c r="K20" i="34"/>
  <c r="K21" i="34"/>
  <c r="K22" i="34"/>
  <c r="K23" i="34"/>
  <c r="K25" i="34"/>
  <c r="K31" i="48"/>
  <c r="K72" i="34"/>
  <c r="K54" i="36"/>
  <c r="K75" i="36"/>
  <c r="K57" i="49" s="1"/>
  <c r="K47" i="36"/>
  <c r="K68" i="36"/>
  <c r="J44" i="35" l="1"/>
  <c r="J50" i="40"/>
  <c r="J49" i="40"/>
  <c r="J30" i="40"/>
  <c r="J65" i="49"/>
  <c r="J64" i="49"/>
  <c r="J16" i="48" l="1"/>
  <c r="J15" i="51"/>
  <c r="J14" i="56"/>
  <c r="J19" i="56"/>
  <c r="J59" i="36"/>
  <c r="J44" i="36"/>
  <c r="J51" i="36"/>
  <c r="J52" i="36"/>
  <c r="J65" i="36"/>
  <c r="J16" i="36"/>
  <c r="J60" i="36" s="1"/>
  <c r="J58" i="36"/>
  <c r="J43" i="36"/>
  <c r="J50" i="36"/>
  <c r="J64" i="36"/>
  <c r="J57" i="36"/>
  <c r="J72" i="36"/>
  <c r="J73" i="36"/>
  <c r="J40" i="36"/>
  <c r="J23" i="36"/>
  <c r="J67" i="36" s="1"/>
  <c r="J45" i="36"/>
  <c r="J30" i="36"/>
  <c r="J31" i="36" s="1"/>
  <c r="J66" i="36"/>
  <c r="J71" i="36"/>
  <c r="J19" i="48" l="1"/>
  <c r="J21" i="48" s="1"/>
  <c r="J21" i="56"/>
  <c r="J17" i="36"/>
  <c r="J54" i="36" s="1"/>
  <c r="J22" i="42"/>
  <c r="K23" i="41"/>
  <c r="J24" i="29"/>
  <c r="J14" i="42"/>
  <c r="J45" i="29"/>
  <c r="J17" i="29"/>
  <c r="J14" i="29"/>
  <c r="J54" i="34"/>
  <c r="J59" i="34" s="1"/>
  <c r="J58" i="34" s="1"/>
  <c r="J24" i="36"/>
  <c r="J68" i="36" s="1"/>
  <c r="J34" i="34"/>
  <c r="J30" i="33"/>
  <c r="J26" i="43"/>
  <c r="J76" i="34"/>
  <c r="J46" i="36"/>
  <c r="J40" i="34"/>
  <c r="J79" i="34"/>
  <c r="J29" i="34"/>
  <c r="J75" i="36"/>
  <c r="J57" i="49" s="1"/>
  <c r="J53" i="36"/>
  <c r="J74" i="36"/>
  <c r="J41" i="29"/>
  <c r="J15" i="34"/>
  <c r="K58" i="49" l="1"/>
  <c r="K59" i="49"/>
  <c r="K53" i="49"/>
  <c r="K52" i="49"/>
  <c r="J54" i="49"/>
  <c r="K51" i="49"/>
  <c r="K50" i="49"/>
  <c r="J24" i="42"/>
  <c r="J20" i="49"/>
  <c r="J46" i="29"/>
  <c r="J47" i="29"/>
  <c r="J48" i="29" s="1"/>
  <c r="J56" i="49"/>
  <c r="J46" i="50"/>
  <c r="J16" i="49"/>
  <c r="J83" i="34"/>
  <c r="J21" i="50"/>
  <c r="J25" i="50" s="1"/>
  <c r="J31" i="50" s="1"/>
  <c r="J34" i="50" s="1"/>
  <c r="J61" i="36"/>
  <c r="J47" i="34"/>
  <c r="J47" i="36"/>
  <c r="J16" i="34"/>
  <c r="J61" i="49" l="1"/>
  <c r="J22" i="49"/>
  <c r="J28" i="49" s="1"/>
  <c r="J60" i="49"/>
  <c r="J37" i="50"/>
  <c r="J38" i="50" s="1"/>
  <c r="J40" i="50"/>
  <c r="J47" i="50" s="1"/>
  <c r="J50" i="50" s="1"/>
  <c r="J51" i="50" s="1"/>
  <c r="J28" i="50"/>
  <c r="J29" i="50" s="1"/>
  <c r="J25" i="34"/>
  <c r="J21" i="34"/>
  <c r="J20" i="34"/>
  <c r="J19" i="34"/>
  <c r="J22" i="34"/>
  <c r="J23" i="34"/>
  <c r="J24" i="34"/>
  <c r="J23" i="49" l="1"/>
  <c r="J29" i="49" s="1"/>
  <c r="J33" i="49"/>
  <c r="J55" i="49" s="1"/>
  <c r="J36" i="49"/>
  <c r="J49" i="49" l="1"/>
  <c r="J35" i="49"/>
  <c r="J47" i="49"/>
  <c r="I45" i="50"/>
  <c r="J48" i="49" l="1"/>
  <c r="E20" i="54" l="1"/>
  <c r="F49" i="40" l="1"/>
  <c r="I49" i="40"/>
  <c r="I50" i="40" l="1"/>
  <c r="J13" i="43" l="1"/>
  <c r="J32" i="43"/>
  <c r="J34" i="43" l="1"/>
  <c r="D38" i="58" l="1"/>
  <c r="D22" i="58"/>
  <c r="D15" i="58"/>
  <c r="H26" i="43" l="1"/>
  <c r="I26" i="43"/>
  <c r="G26" i="43"/>
  <c r="I30" i="40" l="1"/>
  <c r="I72" i="36"/>
  <c r="I19" i="56"/>
  <c r="J23" i="41" l="1"/>
  <c r="I65" i="49"/>
  <c r="I64" i="49"/>
  <c r="I15" i="51"/>
  <c r="I14" i="56"/>
  <c r="I21" i="56" s="1"/>
  <c r="I71" i="36"/>
  <c r="I73" i="36"/>
  <c r="I22" i="42"/>
  <c r="I13" i="43"/>
  <c r="I45" i="36"/>
  <c r="I40" i="36"/>
  <c r="I44" i="35"/>
  <c r="I30" i="33"/>
  <c r="I14" i="42"/>
  <c r="I54" i="34"/>
  <c r="I59" i="34" s="1"/>
  <c r="I58" i="34" s="1"/>
  <c r="I76" i="34"/>
  <c r="I29" i="34"/>
  <c r="I16" i="48"/>
  <c r="I16" i="36"/>
  <c r="I17" i="36" s="1"/>
  <c r="I40" i="34"/>
  <c r="I34" i="34"/>
  <c r="I59" i="36"/>
  <c r="I64" i="36"/>
  <c r="I23" i="36"/>
  <c r="I67" i="36" s="1"/>
  <c r="I58" i="36"/>
  <c r="I44" i="36"/>
  <c r="I66" i="36"/>
  <c r="I43" i="36"/>
  <c r="I65" i="36"/>
  <c r="I51" i="36"/>
  <c r="I52" i="36"/>
  <c r="I79" i="34"/>
  <c r="I30" i="36"/>
  <c r="I74" i="36" s="1"/>
  <c r="I50" i="36"/>
  <c r="I57" i="36"/>
  <c r="I15" i="34"/>
  <c r="I16" i="34" s="1"/>
  <c r="I12" i="48" l="1"/>
  <c r="I19" i="48"/>
  <c r="I21" i="48" s="1"/>
  <c r="I30" i="48"/>
  <c r="I31" i="48" s="1"/>
  <c r="I24" i="42"/>
  <c r="I60" i="36"/>
  <c r="I53" i="36"/>
  <c r="I47" i="34"/>
  <c r="I83" i="34"/>
  <c r="I61" i="36"/>
  <c r="I46" i="36"/>
  <c r="I24" i="36"/>
  <c r="I47" i="36" s="1"/>
  <c r="I31" i="36"/>
  <c r="I20" i="34"/>
  <c r="I25" i="34"/>
  <c r="I24" i="34"/>
  <c r="I23" i="34"/>
  <c r="I22" i="34"/>
  <c r="I19" i="34"/>
  <c r="I21" i="34"/>
  <c r="I68" i="36" l="1"/>
  <c r="I54" i="36"/>
  <c r="I75" i="36"/>
  <c r="D19" i="56" l="1"/>
  <c r="H19" i="56"/>
  <c r="E14" i="56"/>
  <c r="C14" i="56"/>
  <c r="G14" i="56"/>
  <c r="E19" i="56"/>
  <c r="G19" i="56"/>
  <c r="D14" i="56"/>
  <c r="F19" i="56"/>
  <c r="C19" i="56"/>
  <c r="F14" i="56"/>
  <c r="H14" i="56"/>
  <c r="E21" i="56" l="1"/>
  <c r="C21" i="56"/>
  <c r="H21" i="56"/>
  <c r="D21" i="56"/>
  <c r="G21" i="56"/>
  <c r="F21" i="56"/>
  <c r="I36" i="50" l="1"/>
  <c r="J51" i="49" l="1"/>
  <c r="J50" i="49"/>
  <c r="J53" i="49"/>
  <c r="J52" i="49"/>
  <c r="I54" i="49"/>
  <c r="D14" i="54" l="1"/>
  <c r="H49" i="40" l="1"/>
  <c r="G49" i="40"/>
  <c r="G50" i="40"/>
  <c r="H50" i="40"/>
  <c r="E49" i="40"/>
  <c r="D49" i="40" l="1"/>
  <c r="E50" i="40" l="1"/>
  <c r="D50" i="40"/>
  <c r="C50" i="40"/>
  <c r="C49" i="40" l="1"/>
  <c r="F50" i="40"/>
  <c r="E18" i="54" l="1"/>
  <c r="E19" i="54"/>
  <c r="D20" i="54"/>
  <c r="D19" i="54"/>
  <c r="D18" i="54"/>
  <c r="M44" i="49" l="1"/>
  <c r="M43" i="49"/>
  <c r="M54" i="49" s="1"/>
  <c r="M42" i="49"/>
  <c r="M40" i="49"/>
  <c r="M39" i="49"/>
  <c r="H13" i="43"/>
  <c r="H72" i="36"/>
  <c r="H65" i="49"/>
  <c r="M65" i="49" s="1"/>
  <c r="H64" i="49"/>
  <c r="M64" i="49" s="1"/>
  <c r="H44" i="35"/>
  <c r="J58" i="49" l="1"/>
  <c r="J59" i="49"/>
  <c r="H15" i="34"/>
  <c r="H16" i="34" s="1"/>
  <c r="H24" i="34" s="1"/>
  <c r="H65" i="36"/>
  <c r="H66" i="36"/>
  <c r="H73" i="36"/>
  <c r="H54" i="34"/>
  <c r="H59" i="34" s="1"/>
  <c r="H58" i="34" s="1"/>
  <c r="H54" i="49"/>
  <c r="H71" i="36"/>
  <c r="H22" i="42"/>
  <c r="H30" i="33"/>
  <c r="H51" i="36"/>
  <c r="H14" i="42"/>
  <c r="H15" i="51"/>
  <c r="H79" i="34"/>
  <c r="H52" i="36"/>
  <c r="H29" i="34"/>
  <c r="H16" i="36"/>
  <c r="H17" i="36" s="1"/>
  <c r="H23" i="36"/>
  <c r="H67" i="36" s="1"/>
  <c r="H16" i="48"/>
  <c r="H19" i="48" s="1"/>
  <c r="H21" i="48" s="1"/>
  <c r="H40" i="34"/>
  <c r="H59" i="36"/>
  <c r="H44" i="36"/>
  <c r="H45" i="36"/>
  <c r="H34" i="34"/>
  <c r="H58" i="36"/>
  <c r="H66" i="34"/>
  <c r="H70" i="34" s="1"/>
  <c r="H40" i="36"/>
  <c r="H76" i="34"/>
  <c r="H12" i="48"/>
  <c r="H30" i="48" s="1"/>
  <c r="H31" i="48" s="1"/>
  <c r="H43" i="36"/>
  <c r="H57" i="36"/>
  <c r="H50" i="36"/>
  <c r="H64" i="36"/>
  <c r="H30" i="36"/>
  <c r="H74" i="36" s="1"/>
  <c r="H53" i="36" l="1"/>
  <c r="H46" i="36"/>
  <c r="H24" i="42"/>
  <c r="H60" i="36"/>
  <c r="H24" i="36"/>
  <c r="H47" i="36" s="1"/>
  <c r="H83" i="34"/>
  <c r="H47" i="34"/>
  <c r="H61" i="36"/>
  <c r="H71" i="34"/>
  <c r="H69" i="34"/>
  <c r="H22" i="34"/>
  <c r="H21" i="34"/>
  <c r="H25" i="34"/>
  <c r="H23" i="34"/>
  <c r="H20" i="34"/>
  <c r="H19" i="34"/>
  <c r="H31" i="36"/>
  <c r="H75" i="36" s="1"/>
  <c r="H72" i="34" l="1"/>
  <c r="H68" i="36"/>
  <c r="I23" i="41"/>
  <c r="H54" i="36"/>
  <c r="G65" i="49" l="1"/>
  <c r="G64" i="49"/>
  <c r="G20" i="48"/>
  <c r="G15" i="34"/>
  <c r="G53" i="50"/>
  <c r="G13" i="43" l="1"/>
  <c r="G54" i="34"/>
  <c r="G59" i="34" s="1"/>
  <c r="G58" i="34" s="1"/>
  <c r="G54" i="49"/>
  <c r="H11" i="51"/>
  <c r="H28" i="51" s="1"/>
  <c r="I11" i="51" s="1"/>
  <c r="G16" i="34"/>
  <c r="G44" i="35"/>
  <c r="H23" i="41"/>
  <c r="G15" i="51"/>
  <c r="G14" i="42"/>
  <c r="G22" i="42"/>
  <c r="G40" i="34"/>
  <c r="G34" i="34"/>
  <c r="G72" i="36"/>
  <c r="G76" i="34"/>
  <c r="G44" i="36"/>
  <c r="G29" i="34"/>
  <c r="G66" i="34"/>
  <c r="G71" i="34" s="1"/>
  <c r="G79" i="34"/>
  <c r="G71" i="36"/>
  <c r="G30" i="33"/>
  <c r="G43" i="36"/>
  <c r="G51" i="36"/>
  <c r="G65" i="36"/>
  <c r="G52" i="36"/>
  <c r="G59" i="36"/>
  <c r="G23" i="36"/>
  <c r="G67" i="36" s="1"/>
  <c r="G30" i="36"/>
  <c r="G31" i="36" s="1"/>
  <c r="G50" i="36"/>
  <c r="G45" i="36"/>
  <c r="G57" i="36"/>
  <c r="G73" i="36"/>
  <c r="G16" i="36"/>
  <c r="G60" i="36" s="1"/>
  <c r="G40" i="36"/>
  <c r="G58" i="36"/>
  <c r="G64" i="36"/>
  <c r="G66" i="36"/>
  <c r="G16" i="48"/>
  <c r="G19" i="48" l="1"/>
  <c r="G21" i="48" s="1"/>
  <c r="I28" i="51"/>
  <c r="G25" i="34"/>
  <c r="G24" i="34"/>
  <c r="G22" i="34"/>
  <c r="G19" i="34"/>
  <c r="G20" i="34"/>
  <c r="G21" i="34"/>
  <c r="G83" i="34"/>
  <c r="G23" i="34"/>
  <c r="G47" i="34"/>
  <c r="G24" i="42"/>
  <c r="G69" i="34"/>
  <c r="G74" i="36"/>
  <c r="G12" i="48"/>
  <c r="G24" i="36"/>
  <c r="G68" i="36" s="1"/>
  <c r="G70" i="34"/>
  <c r="G17" i="36"/>
  <c r="G54" i="36" s="1"/>
  <c r="G53" i="36"/>
  <c r="G46" i="36"/>
  <c r="G75" i="36"/>
  <c r="J11" i="51" l="1"/>
  <c r="J28" i="51" s="1"/>
  <c r="K11" i="51" s="1"/>
  <c r="K28" i="51" s="1"/>
  <c r="L11" i="51" s="1"/>
  <c r="L28" i="51" s="1"/>
  <c r="G72" i="34"/>
  <c r="G61" i="36"/>
  <c r="G47" i="36"/>
  <c r="F44" i="36" l="1"/>
  <c r="G11" i="51"/>
  <c r="F65" i="49"/>
  <c r="F64" i="49"/>
  <c r="F26" i="43" l="1"/>
  <c r="F54" i="34"/>
  <c r="F59" i="34" s="1"/>
  <c r="F58" i="34" s="1"/>
  <c r="F15" i="34"/>
  <c r="F14" i="42"/>
  <c r="F40" i="34"/>
  <c r="F15" i="51"/>
  <c r="F34" i="34"/>
  <c r="G23" i="41"/>
  <c r="F16" i="48"/>
  <c r="F79" i="34"/>
  <c r="F76" i="34"/>
  <c r="F30" i="33"/>
  <c r="F29" i="34"/>
  <c r="F59" i="36"/>
  <c r="F52" i="36"/>
  <c r="F66" i="34"/>
  <c r="F71" i="34" s="1"/>
  <c r="F73" i="36"/>
  <c r="F16" i="36"/>
  <c r="F60" i="36" s="1"/>
  <c r="F45" i="36"/>
  <c r="F51" i="36"/>
  <c r="F64" i="36"/>
  <c r="F58" i="36"/>
  <c r="F22" i="42"/>
  <c r="F23" i="36"/>
  <c r="F65" i="36"/>
  <c r="F71" i="36"/>
  <c r="F30" i="36"/>
  <c r="F66" i="36"/>
  <c r="F72" i="36"/>
  <c r="F40" i="36"/>
  <c r="F11" i="51"/>
  <c r="F19" i="48" l="1"/>
  <c r="F21" i="48" s="1"/>
  <c r="F17" i="36"/>
  <c r="F61" i="36" s="1"/>
  <c r="F50" i="36"/>
  <c r="F57" i="36"/>
  <c r="F16" i="34"/>
  <c r="F25" i="34" s="1"/>
  <c r="F43" i="36"/>
  <c r="F24" i="42"/>
  <c r="F83" i="34"/>
  <c r="G30" i="48"/>
  <c r="G31" i="48" s="1"/>
  <c r="F47" i="34"/>
  <c r="F46" i="36"/>
  <c r="F70" i="34"/>
  <c r="F69" i="34"/>
  <c r="F12" i="48"/>
  <c r="F30" i="48" s="1"/>
  <c r="F67" i="36"/>
  <c r="F24" i="36"/>
  <c r="F74" i="36"/>
  <c r="F53" i="36"/>
  <c r="F31" i="36"/>
  <c r="F54" i="36" l="1"/>
  <c r="F21" i="34"/>
  <c r="F24" i="34"/>
  <c r="F20" i="34"/>
  <c r="F22" i="34"/>
  <c r="F23" i="34"/>
  <c r="F19" i="34"/>
  <c r="F31" i="48"/>
  <c r="F47" i="36"/>
  <c r="F72" i="34"/>
  <c r="F75" i="36"/>
  <c r="F68" i="36"/>
  <c r="E13" i="43" l="1"/>
  <c r="E65" i="49"/>
  <c r="E64" i="49"/>
  <c r="E26" i="43" l="1"/>
  <c r="E54" i="34"/>
  <c r="E59" i="34" s="1"/>
  <c r="E58" i="34" s="1"/>
  <c r="E54" i="49"/>
  <c r="E15" i="34"/>
  <c r="E16" i="34" s="1"/>
  <c r="E45" i="29"/>
  <c r="F54" i="49"/>
  <c r="E44" i="35"/>
  <c r="E14" i="42"/>
  <c r="E41" i="29"/>
  <c r="E22" i="42"/>
  <c r="E15" i="51"/>
  <c r="E30" i="33"/>
  <c r="E29" i="34"/>
  <c r="E17" i="29"/>
  <c r="F23" i="41"/>
  <c r="E14" i="29"/>
  <c r="E24" i="29"/>
  <c r="E21" i="50"/>
  <c r="E25" i="50" s="1"/>
  <c r="E28" i="50" s="1"/>
  <c r="E29" i="50" s="1"/>
  <c r="E46" i="50"/>
  <c r="E34" i="34"/>
  <c r="E40" i="34"/>
  <c r="E66" i="34"/>
  <c r="E69" i="34" s="1"/>
  <c r="E56" i="49"/>
  <c r="E16" i="36"/>
  <c r="E60" i="36" s="1"/>
  <c r="E12" i="48"/>
  <c r="E30" i="48" s="1"/>
  <c r="E31" i="48" s="1"/>
  <c r="E16" i="48"/>
  <c r="E19" i="48" s="1"/>
  <c r="E21" i="48" s="1"/>
  <c r="E76" i="34"/>
  <c r="E20" i="49"/>
  <c r="E79" i="34"/>
  <c r="E23" i="36"/>
  <c r="E24" i="36" s="1"/>
  <c r="E43" i="36"/>
  <c r="E51" i="36"/>
  <c r="E65" i="36"/>
  <c r="E72" i="36"/>
  <c r="E16" i="49"/>
  <c r="E60" i="49" s="1"/>
  <c r="E52" i="36"/>
  <c r="E59" i="36"/>
  <c r="E45" i="36"/>
  <c r="E30" i="36"/>
  <c r="E74" i="36" s="1"/>
  <c r="E71" i="36"/>
  <c r="E50" i="36"/>
  <c r="E45" i="33"/>
  <c r="E57" i="36"/>
  <c r="E73" i="36"/>
  <c r="E44" i="36"/>
  <c r="E40" i="36"/>
  <c r="E58" i="36"/>
  <c r="E64" i="36"/>
  <c r="E66" i="36"/>
  <c r="E61" i="49" l="1"/>
  <c r="E25" i="34"/>
  <c r="E20" i="34"/>
  <c r="E24" i="34"/>
  <c r="E19" i="34"/>
  <c r="E23" i="34"/>
  <c r="E22" i="34"/>
  <c r="E21" i="34"/>
  <c r="E24" i="42"/>
  <c r="E83" i="34"/>
  <c r="E47" i="34"/>
  <c r="E53" i="36"/>
  <c r="E46" i="36"/>
  <c r="E31" i="36"/>
  <c r="E75" i="36" s="1"/>
  <c r="E71" i="34"/>
  <c r="E70" i="34"/>
  <c r="E31" i="50"/>
  <c r="E34" i="50" s="1"/>
  <c r="E40" i="50" s="1"/>
  <c r="E47" i="50" s="1"/>
  <c r="E50" i="50" s="1"/>
  <c r="E51" i="50" s="1"/>
  <c r="E17" i="36"/>
  <c r="E67" i="36"/>
  <c r="E22" i="49"/>
  <c r="E28" i="49" s="1"/>
  <c r="E47" i="29"/>
  <c r="E48" i="29" s="1"/>
  <c r="E46" i="29"/>
  <c r="E68" i="36"/>
  <c r="E72" i="34" l="1"/>
  <c r="E54" i="36"/>
  <c r="E23" i="49"/>
  <c r="E29" i="49" s="1"/>
  <c r="E37" i="50"/>
  <c r="E38" i="50" s="1"/>
  <c r="E47" i="36"/>
  <c r="E61" i="36"/>
  <c r="E33" i="49"/>
  <c r="E36" i="49"/>
  <c r="E49" i="49" l="1"/>
  <c r="E55" i="49"/>
  <c r="E47" i="49"/>
  <c r="E35" i="49"/>
  <c r="E48" i="49" l="1"/>
  <c r="D65" i="49" l="1"/>
  <c r="D64" i="49"/>
  <c r="E11" i="51"/>
  <c r="D13" i="43"/>
  <c r="D15" i="34"/>
  <c r="D26" i="43" l="1"/>
  <c r="D54" i="34"/>
  <c r="D59" i="34" s="1"/>
  <c r="D58" i="34" s="1"/>
  <c r="D16" i="34"/>
  <c r="D25" i="34" s="1"/>
  <c r="D41" i="29"/>
  <c r="D22" i="42"/>
  <c r="D15" i="51"/>
  <c r="D16" i="48"/>
  <c r="D19" i="48" s="1"/>
  <c r="D21" i="48" s="1"/>
  <c r="D66" i="34"/>
  <c r="D71" i="34" s="1"/>
  <c r="D72" i="36"/>
  <c r="D24" i="29"/>
  <c r="D14" i="29"/>
  <c r="D12" i="48"/>
  <c r="D30" i="48" s="1"/>
  <c r="D31" i="48" s="1"/>
  <c r="D40" i="34"/>
  <c r="D34" i="34"/>
  <c r="D45" i="36"/>
  <c r="E23" i="41"/>
  <c r="D30" i="33"/>
  <c r="D23" i="36"/>
  <c r="D67" i="36" s="1"/>
  <c r="D45" i="33"/>
  <c r="D29" i="34"/>
  <c r="D76" i="34"/>
  <c r="D79" i="34"/>
  <c r="D14" i="42"/>
  <c r="D52" i="36"/>
  <c r="D59" i="36"/>
  <c r="D16" i="36"/>
  <c r="D60" i="36" s="1"/>
  <c r="D30" i="36"/>
  <c r="D31" i="36" s="1"/>
  <c r="D71" i="36"/>
  <c r="D50" i="36"/>
  <c r="D43" i="36"/>
  <c r="D65" i="36"/>
  <c r="D44" i="36"/>
  <c r="D66" i="36"/>
  <c r="D51" i="36"/>
  <c r="D73" i="36"/>
  <c r="D40" i="36"/>
  <c r="D58" i="36"/>
  <c r="D64" i="36"/>
  <c r="D57" i="36"/>
  <c r="D17" i="29"/>
  <c r="D19" i="34" l="1"/>
  <c r="D23" i="34"/>
  <c r="D24" i="34"/>
  <c r="D22" i="34"/>
  <c r="D21" i="34"/>
  <c r="D20" i="34"/>
  <c r="D70" i="34"/>
  <c r="D69" i="34"/>
  <c r="D53" i="36"/>
  <c r="D47" i="34"/>
  <c r="D83" i="34"/>
  <c r="D74" i="36"/>
  <c r="D24" i="36"/>
  <c r="D68" i="36" s="1"/>
  <c r="D24" i="42"/>
  <c r="D17" i="36"/>
  <c r="D54" i="36" s="1"/>
  <c r="D46" i="36"/>
  <c r="D75" i="36"/>
  <c r="D72" i="34" l="1"/>
  <c r="D47" i="36"/>
  <c r="D61" i="36"/>
  <c r="C54" i="34" l="1"/>
  <c r="C59" i="34" s="1"/>
  <c r="C58" i="34" s="1"/>
  <c r="E53" i="49" l="1"/>
  <c r="E52" i="49"/>
  <c r="E58" i="49"/>
  <c r="E59" i="49"/>
  <c r="C65" i="49" l="1"/>
  <c r="D11" i="51"/>
  <c r="C13" i="43"/>
  <c r="D23" i="41"/>
  <c r="C79" i="34"/>
  <c r="C15" i="34"/>
  <c r="C54" i="49"/>
  <c r="C58" i="49"/>
  <c r="C59" i="49" l="1"/>
  <c r="C64" i="49"/>
  <c r="C26" i="43"/>
  <c r="C16" i="34"/>
  <c r="C25" i="34" s="1"/>
  <c r="C41" i="29"/>
  <c r="C45" i="29"/>
  <c r="C46" i="29" s="1"/>
  <c r="C30" i="33"/>
  <c r="C46" i="50"/>
  <c r="C52" i="36"/>
  <c r="C50" i="36"/>
  <c r="C21" i="50"/>
  <c r="C25" i="50" s="1"/>
  <c r="C17" i="29"/>
  <c r="C24" i="29"/>
  <c r="C76" i="34"/>
  <c r="C83" i="34" s="1"/>
  <c r="C65" i="36"/>
  <c r="C43" i="36"/>
  <c r="C45" i="33"/>
  <c r="C40" i="34"/>
  <c r="C34" i="34"/>
  <c r="C51" i="36"/>
  <c r="C56" i="49"/>
  <c r="C14" i="42"/>
  <c r="C66" i="34"/>
  <c r="C71" i="34" s="1"/>
  <c r="C30" i="36"/>
  <c r="C31" i="36" s="1"/>
  <c r="C14" i="29"/>
  <c r="C71" i="36"/>
  <c r="C22" i="42"/>
  <c r="C59" i="36"/>
  <c r="C29" i="34"/>
  <c r="C16" i="48"/>
  <c r="C19" i="48" s="1"/>
  <c r="C21" i="48" s="1"/>
  <c r="C58" i="36"/>
  <c r="C15" i="51"/>
  <c r="C72" i="36"/>
  <c r="C23" i="36"/>
  <c r="C67" i="36" s="1"/>
  <c r="C44" i="36"/>
  <c r="C66" i="36"/>
  <c r="C45" i="36"/>
  <c r="C57" i="36"/>
  <c r="C73" i="36"/>
  <c r="C16" i="36"/>
  <c r="C60" i="36" s="1"/>
  <c r="C40" i="36"/>
  <c r="C64" i="36"/>
  <c r="C12" i="48"/>
  <c r="C30" i="48" s="1"/>
  <c r="C31" i="48" s="1"/>
  <c r="C20" i="49"/>
  <c r="C16" i="49"/>
  <c r="C60" i="49" s="1"/>
  <c r="C61" i="49" l="1"/>
  <c r="C20" i="34"/>
  <c r="C23" i="34"/>
  <c r="C24" i="34"/>
  <c r="C19" i="34"/>
  <c r="C22" i="34"/>
  <c r="C21" i="34"/>
  <c r="C47" i="29"/>
  <c r="C48" i="29" s="1"/>
  <c r="C24" i="42"/>
  <c r="C24" i="36"/>
  <c r="C68" i="36" s="1"/>
  <c r="C74" i="36"/>
  <c r="C17" i="36"/>
  <c r="C46" i="36"/>
  <c r="C31" i="50"/>
  <c r="C34" i="50" s="1"/>
  <c r="C40" i="50" s="1"/>
  <c r="C47" i="50" s="1"/>
  <c r="C50" i="50" s="1"/>
  <c r="C51" i="50" s="1"/>
  <c r="C28" i="50"/>
  <c r="C29" i="50" s="1"/>
  <c r="C70" i="34"/>
  <c r="C69" i="34"/>
  <c r="C47" i="34"/>
  <c r="C75" i="36"/>
  <c r="C53" i="36"/>
  <c r="C22" i="49"/>
  <c r="C28" i="49" s="1"/>
  <c r="C47" i="36" l="1"/>
  <c r="C61" i="36"/>
  <c r="C37" i="50"/>
  <c r="C38" i="50" s="1"/>
  <c r="C54" i="36"/>
  <c r="C72" i="34"/>
  <c r="C23" i="49"/>
  <c r="C29" i="49" s="1"/>
  <c r="C36" i="49"/>
  <c r="C51" i="49" s="1"/>
  <c r="C33" i="49"/>
  <c r="C47" i="49" s="1"/>
  <c r="C53" i="49" l="1"/>
  <c r="C49" i="49"/>
  <c r="C35" i="49"/>
  <c r="C55" i="49"/>
  <c r="C52" i="49" l="1"/>
  <c r="C50" i="49"/>
  <c r="C48" i="49"/>
  <c r="D56" i="49" l="1"/>
  <c r="E51" i="49" l="1"/>
  <c r="E50" i="49"/>
  <c r="D54" i="49"/>
  <c r="D58" i="49" l="1"/>
  <c r="D20" i="49"/>
  <c r="D59" i="49" l="1"/>
  <c r="D16" i="49"/>
  <c r="D22" i="49" s="1"/>
  <c r="D61" i="49" l="1"/>
  <c r="D60" i="49"/>
  <c r="D28" i="49"/>
  <c r="D23" i="49"/>
  <c r="D29" i="49" s="1"/>
  <c r="D36" i="49" l="1"/>
  <c r="D53" i="49" s="1"/>
  <c r="D49" i="49" l="1"/>
  <c r="D51" i="49"/>
  <c r="D44" i="35" l="1"/>
  <c r="C44" i="35" l="1"/>
  <c r="G56" i="49" l="1"/>
  <c r="H56" i="49" l="1"/>
  <c r="M41" i="49"/>
  <c r="M56" i="49" s="1"/>
  <c r="I56" i="49"/>
  <c r="F56" i="49" l="1"/>
  <c r="F44" i="35" l="1"/>
  <c r="F46" i="50" l="1"/>
  <c r="F20" i="49"/>
  <c r="F13" i="43"/>
  <c r="F24" i="29"/>
  <c r="F17" i="29" l="1"/>
  <c r="F16" i="49"/>
  <c r="F22" i="49" s="1"/>
  <c r="F58" i="49"/>
  <c r="F21" i="50"/>
  <c r="F25" i="50" s="1"/>
  <c r="F14" i="29"/>
  <c r="F59" i="49"/>
  <c r="F61" i="49" l="1"/>
  <c r="F60" i="49"/>
  <c r="F28" i="50"/>
  <c r="F29" i="50" s="1"/>
  <c r="F31" i="50"/>
  <c r="F34" i="50" s="1"/>
  <c r="F23" i="49"/>
  <c r="F29" i="49" s="1"/>
  <c r="F28" i="49"/>
  <c r="F33" i="49" s="1"/>
  <c r="F36" i="49" l="1"/>
  <c r="F40" i="50"/>
  <c r="F37" i="50"/>
  <c r="F38" i="50" s="1"/>
  <c r="F47" i="50" l="1"/>
  <c r="F50" i="50" s="1"/>
  <c r="F51" i="50" s="1"/>
  <c r="F53" i="49"/>
  <c r="F51" i="49"/>
  <c r="F49" i="49"/>
  <c r="F35" i="49"/>
  <c r="F55" i="49"/>
  <c r="F47" i="49"/>
  <c r="F52" i="49" l="1"/>
  <c r="F48" i="49"/>
  <c r="F50" i="49"/>
  <c r="F45" i="29" l="1"/>
  <c r="F41" i="29"/>
  <c r="F47" i="29" l="1"/>
  <c r="F48" i="29" s="1"/>
  <c r="F46" i="29"/>
  <c r="D45" i="29" l="1"/>
  <c r="D33" i="49"/>
  <c r="D46" i="50"/>
  <c r="D21" i="50" l="1"/>
  <c r="D25" i="50" s="1"/>
  <c r="D28" i="50" s="1"/>
  <c r="D29" i="50" s="1"/>
  <c r="D35" i="49"/>
  <c r="D47" i="49"/>
  <c r="D55" i="49"/>
  <c r="D46" i="29"/>
  <c r="D47" i="29"/>
  <c r="D48" i="29" s="1"/>
  <c r="D31" i="50" l="1"/>
  <c r="D34" i="50" s="1"/>
  <c r="D37" i="50" s="1"/>
  <c r="D38" i="50" s="1"/>
  <c r="D50" i="49"/>
  <c r="D52" i="49"/>
  <c r="D48" i="49"/>
  <c r="D40" i="50" l="1"/>
  <c r="D47" i="50" s="1"/>
  <c r="D50" i="50" s="1"/>
  <c r="D51" i="50" s="1"/>
  <c r="E32" i="43" l="1"/>
  <c r="E34" i="43" s="1"/>
  <c r="D32" i="43"/>
  <c r="D34" i="43" s="1"/>
  <c r="C32" i="43"/>
  <c r="C34" i="43" s="1"/>
  <c r="F32" i="43" l="1"/>
  <c r="F34" i="43" s="1"/>
  <c r="G32" i="43"/>
  <c r="G34" i="43" s="1"/>
  <c r="H32" i="43"/>
  <c r="H34" i="43" s="1"/>
  <c r="H24" i="29" l="1"/>
  <c r="I32" i="43"/>
  <c r="I34" i="43" s="1"/>
  <c r="I24" i="29"/>
  <c r="G24" i="29"/>
  <c r="H17" i="29"/>
  <c r="H20" i="49"/>
  <c r="I17" i="29"/>
  <c r="G14" i="29"/>
  <c r="G58" i="49"/>
  <c r="G20" i="49"/>
  <c r="I14" i="29" l="1"/>
  <c r="G17" i="29"/>
  <c r="H14" i="29"/>
  <c r="H58" i="49"/>
  <c r="G59" i="49" l="1"/>
  <c r="G16" i="49"/>
  <c r="G61" i="49" s="1"/>
  <c r="H59" i="49"/>
  <c r="H16" i="49"/>
  <c r="H22" i="49" l="1"/>
  <c r="H28" i="49" s="1"/>
  <c r="H61" i="49"/>
  <c r="G60" i="49"/>
  <c r="G22" i="49"/>
  <c r="H60" i="49"/>
  <c r="H23" i="49" l="1"/>
  <c r="H29" i="49" s="1"/>
  <c r="H33" i="49"/>
  <c r="H36" i="49"/>
  <c r="G28" i="49"/>
  <c r="G23" i="49"/>
  <c r="G29" i="49" s="1"/>
  <c r="H45" i="29"/>
  <c r="H51" i="49" l="1"/>
  <c r="H49" i="49"/>
  <c r="H53" i="49"/>
  <c r="H55" i="49"/>
  <c r="H47" i="49"/>
  <c r="H35" i="49"/>
  <c r="I41" i="29"/>
  <c r="H41" i="29"/>
  <c r="G41" i="29"/>
  <c r="H50" i="49" l="1"/>
  <c r="H48" i="49"/>
  <c r="H52" i="49"/>
  <c r="H47" i="29"/>
  <c r="H48" i="29" s="1"/>
  <c r="H46" i="29"/>
  <c r="J12" i="48" l="1"/>
  <c r="J30" i="48" s="1"/>
  <c r="J31" i="48" l="1"/>
  <c r="I20" i="49" l="1"/>
  <c r="G36" i="49"/>
  <c r="H46" i="50"/>
  <c r="I58" i="49" l="1"/>
  <c r="G46" i="50"/>
  <c r="G45" i="29"/>
  <c r="G33" i="49"/>
  <c r="I45" i="29"/>
  <c r="I46" i="50"/>
  <c r="G51" i="49"/>
  <c r="G53" i="49"/>
  <c r="G49" i="49"/>
  <c r="G46" i="29" l="1"/>
  <c r="G47" i="29"/>
  <c r="G48" i="29" s="1"/>
  <c r="H21" i="50"/>
  <c r="H25" i="50" s="1"/>
  <c r="G35" i="49"/>
  <c r="G47" i="49"/>
  <c r="G55" i="49"/>
  <c r="I21" i="50"/>
  <c r="I25" i="50" s="1"/>
  <c r="I47" i="29"/>
  <c r="I48" i="29" s="1"/>
  <c r="I46" i="29"/>
  <c r="G21" i="50"/>
  <c r="G25" i="50" s="1"/>
  <c r="I31" i="50" l="1"/>
  <c r="I34" i="50" s="1"/>
  <c r="I28" i="50"/>
  <c r="I29" i="50" s="1"/>
  <c r="I59" i="49"/>
  <c r="I16" i="49"/>
  <c r="G52" i="49"/>
  <c r="G48" i="49"/>
  <c r="G50" i="49"/>
  <c r="G28" i="50"/>
  <c r="G29" i="50" s="1"/>
  <c r="G31" i="50"/>
  <c r="G34" i="50" s="1"/>
  <c r="H28" i="50"/>
  <c r="H29" i="50" s="1"/>
  <c r="H31" i="50"/>
  <c r="H34" i="50" s="1"/>
  <c r="I22" i="49" l="1"/>
  <c r="I28" i="49" s="1"/>
  <c r="I61" i="49"/>
  <c r="H37" i="50"/>
  <c r="H38" i="50" s="1"/>
  <c r="H40" i="50"/>
  <c r="H47" i="50" s="1"/>
  <c r="H50" i="50" s="1"/>
  <c r="H51" i="50" s="1"/>
  <c r="G40" i="50"/>
  <c r="G47" i="50" s="1"/>
  <c r="G50" i="50" s="1"/>
  <c r="G51" i="50" s="1"/>
  <c r="G37" i="50"/>
  <c r="G38" i="50" s="1"/>
  <c r="I60" i="49"/>
  <c r="I37" i="50"/>
  <c r="I38" i="50" s="1"/>
  <c r="I40" i="50"/>
  <c r="I47" i="50" s="1"/>
  <c r="I50" i="50" s="1"/>
  <c r="I51" i="50" s="1"/>
  <c r="I23" i="49" l="1"/>
  <c r="I29" i="49" s="1"/>
  <c r="I36" i="49"/>
  <c r="I33" i="49"/>
  <c r="I55" i="49" l="1"/>
  <c r="I35" i="49"/>
  <c r="I47" i="49"/>
  <c r="I53" i="49"/>
  <c r="I51" i="49"/>
  <c r="I49" i="49"/>
  <c r="I50" i="49" l="1"/>
  <c r="I52" i="49"/>
  <c r="I48" i="49"/>
  <c r="J66" i="34" l="1"/>
  <c r="J71" i="34" s="1"/>
  <c r="J70" i="34" l="1"/>
  <c r="J69" i="34"/>
  <c r="J72" i="34" l="1"/>
  <c r="I66" i="34" l="1"/>
  <c r="I71" i="34" s="1"/>
  <c r="I69" i="34" l="1"/>
  <c r="I70" i="34"/>
  <c r="I72" i="34" l="1"/>
  <c r="D23" i="47" l="1"/>
  <c r="D24" i="47"/>
  <c r="I14" i="47"/>
  <c r="M14" i="47" s="1"/>
  <c r="I12" i="47"/>
  <c r="M12" i="47" s="1"/>
  <c r="K24" i="47"/>
  <c r="E24" i="47"/>
  <c r="C24" i="47"/>
  <c r="I11" i="47"/>
  <c r="M11" i="47" s="1"/>
  <c r="H24" i="47"/>
  <c r="H13" i="47"/>
  <c r="H15" i="47" s="1"/>
  <c r="I18" i="47"/>
  <c r="M18" i="47" s="1"/>
  <c r="I21" i="47"/>
  <c r="M21" i="47" s="1"/>
  <c r="I17" i="47"/>
  <c r="M17" i="47" s="1"/>
  <c r="G24" i="47"/>
  <c r="I16" i="47" l="1"/>
  <c r="M16" i="47" s="1"/>
  <c r="E23" i="47"/>
  <c r="E13" i="47"/>
  <c r="C23" i="47"/>
  <c r="C13" i="47"/>
  <c r="D13" i="47"/>
  <c r="K23" i="47"/>
  <c r="K13" i="47"/>
  <c r="H26" i="47"/>
  <c r="H19" i="47"/>
  <c r="H28" i="47" s="1"/>
  <c r="H23" i="47"/>
  <c r="H25" i="47"/>
  <c r="G23" i="47"/>
  <c r="G13" i="47"/>
  <c r="G15" i="47" s="1"/>
  <c r="F13" i="47"/>
  <c r="I9" i="47"/>
  <c r="I10" i="47"/>
  <c r="D15" i="47" l="1"/>
  <c r="D25" i="47"/>
  <c r="K15" i="47"/>
  <c r="K25" i="47"/>
  <c r="C15" i="47"/>
  <c r="C25" i="47"/>
  <c r="E15" i="47"/>
  <c r="E25" i="47"/>
  <c r="I24" i="47"/>
  <c r="M10" i="47"/>
  <c r="M24" i="47" s="1"/>
  <c r="I23" i="47"/>
  <c r="M9" i="47"/>
  <c r="M23" i="47" s="1"/>
  <c r="F15" i="47"/>
  <c r="I13" i="47"/>
  <c r="G26" i="47"/>
  <c r="G19" i="47"/>
  <c r="G28" i="47" s="1"/>
  <c r="E26" i="47" l="1"/>
  <c r="E19" i="47"/>
  <c r="E28" i="47" s="1"/>
  <c r="C26" i="47"/>
  <c r="C19" i="47"/>
  <c r="C28" i="47" s="1"/>
  <c r="K26" i="47"/>
  <c r="K19" i="47"/>
  <c r="K28" i="47" s="1"/>
  <c r="D26" i="47"/>
  <c r="D19" i="47"/>
  <c r="D28" i="47" s="1"/>
  <c r="M13" i="47"/>
  <c r="M25" i="47" s="1"/>
  <c r="I25" i="47"/>
  <c r="F19" i="47"/>
  <c r="I15" i="47"/>
  <c r="I26" i="47" l="1"/>
  <c r="M15" i="47"/>
  <c r="I19" i="47"/>
  <c r="I28" i="47" s="1"/>
  <c r="M19" i="47" l="1"/>
  <c r="M28" i="47" s="1"/>
  <c r="M26" i="47"/>
  <c r="N40" i="49" l="1"/>
  <c r="M23" i="41" l="1"/>
  <c r="L56" i="49" l="1"/>
  <c r="N41" i="49"/>
  <c r="N56" i="49" s="1"/>
  <c r="L32" i="43" l="1"/>
  <c r="L13" i="43" l="1"/>
  <c r="L34" i="43" s="1"/>
  <c r="L14" i="29"/>
  <c r="L46" i="50"/>
  <c r="L24" i="29"/>
  <c r="L20" i="49"/>
  <c r="L58" i="49" l="1"/>
  <c r="L16" i="49"/>
  <c r="L22" i="49" s="1"/>
  <c r="L59" i="49"/>
  <c r="L60" i="49"/>
  <c r="L21" i="50"/>
  <c r="L25" i="50" s="1"/>
  <c r="L61" i="49"/>
  <c r="L17" i="29"/>
  <c r="L28" i="50" l="1"/>
  <c r="L29" i="50" s="1"/>
  <c r="L31" i="50"/>
  <c r="L34" i="50" s="1"/>
  <c r="L28" i="49"/>
  <c r="L23" i="49"/>
  <c r="L29" i="49" s="1"/>
  <c r="L36" i="49" l="1"/>
  <c r="L33" i="49"/>
  <c r="L37" i="50"/>
  <c r="L38" i="50" s="1"/>
  <c r="L40" i="50"/>
  <c r="L47" i="50" s="1"/>
  <c r="L50" i="50" s="1"/>
  <c r="L51" i="50" s="1"/>
  <c r="L35" i="49" l="1"/>
  <c r="L55" i="49"/>
  <c r="L47" i="49"/>
  <c r="L51" i="49"/>
  <c r="L53" i="49"/>
  <c r="L49" i="49"/>
  <c r="L41" i="29" l="1"/>
  <c r="L45" i="29"/>
  <c r="L48" i="49"/>
  <c r="L50" i="49"/>
  <c r="L52" i="49"/>
  <c r="L47" i="29" l="1"/>
  <c r="L48" i="29" s="1"/>
  <c r="L46" i="29"/>
  <c r="N20" i="49" l="1"/>
  <c r="N46" i="50" l="1"/>
  <c r="N59" i="49" l="1"/>
  <c r="N21" i="50"/>
  <c r="N25" i="50" s="1"/>
  <c r="N58" i="49" l="1"/>
  <c r="N16" i="49"/>
  <c r="N31" i="50"/>
  <c r="N34" i="50" s="1"/>
  <c r="N28" i="50"/>
  <c r="N29" i="50" s="1"/>
  <c r="N37" i="50" l="1"/>
  <c r="N38" i="50" s="1"/>
  <c r="N40" i="50"/>
  <c r="N47" i="50" s="1"/>
  <c r="N50" i="50" s="1"/>
  <c r="N51" i="50" s="1"/>
  <c r="N22" i="49"/>
  <c r="N61" i="49"/>
  <c r="N60" i="49"/>
  <c r="N23" i="49" l="1"/>
  <c r="N29" i="49" s="1"/>
  <c r="N28" i="49"/>
  <c r="N36" i="49" l="1"/>
  <c r="N33" i="49"/>
  <c r="N55" i="49" l="1"/>
  <c r="N47" i="49"/>
  <c r="N35" i="49"/>
  <c r="N49" i="49"/>
  <c r="N51" i="49"/>
  <c r="N53" i="49"/>
  <c r="N50" i="49" l="1"/>
  <c r="N48" i="49"/>
  <c r="N52" i="49"/>
  <c r="M20" i="49" l="1"/>
  <c r="M59" i="49" l="1"/>
  <c r="M46" i="50"/>
  <c r="M21" i="50" l="1"/>
  <c r="M25" i="50" s="1"/>
  <c r="M58" i="49"/>
  <c r="M16" i="49"/>
  <c r="M22" i="49" l="1"/>
  <c r="M61" i="49"/>
  <c r="M60" i="49"/>
  <c r="M31" i="50"/>
  <c r="M34" i="50" s="1"/>
  <c r="M28" i="50"/>
  <c r="M29" i="50" s="1"/>
  <c r="M40" i="50" l="1"/>
  <c r="M47" i="50" s="1"/>
  <c r="M50" i="50" s="1"/>
  <c r="M51" i="50" s="1"/>
  <c r="M37" i="50"/>
  <c r="M38" i="50" s="1"/>
  <c r="M23" i="49"/>
  <c r="M29" i="49" s="1"/>
  <c r="M28" i="49"/>
  <c r="M36" i="49" l="1"/>
  <c r="M33" i="49"/>
  <c r="M55" i="49" l="1"/>
  <c r="M47" i="49"/>
  <c r="M35" i="49"/>
  <c r="M51" i="49"/>
  <c r="M49" i="49"/>
  <c r="M53" i="49"/>
  <c r="M52" i="49" l="1"/>
  <c r="M50" i="49"/>
  <c r="M48" i="49"/>
  <c r="L19" i="48" l="1"/>
  <c r="L21" i="48" s="1"/>
  <c r="L12" i="48"/>
  <c r="L30" i="48" s="1"/>
  <c r="L31" i="48" s="1"/>
  <c r="L76" i="34"/>
  <c r="L83" i="34" s="1"/>
  <c r="L17" i="36"/>
  <c r="L50" i="36"/>
  <c r="L43" i="36"/>
  <c r="L72" i="36"/>
  <c r="L65" i="36"/>
  <c r="L58" i="36"/>
  <c r="L54" i="36" l="1"/>
  <c r="L47" i="36"/>
  <c r="L66" i="34"/>
  <c r="L69" i="34" s="1"/>
  <c r="L71" i="34" l="1"/>
  <c r="L70" i="34"/>
  <c r="L72" i="34" s="1"/>
  <c r="N13" i="33" l="1"/>
  <c r="L66" i="36" l="1"/>
  <c r="L73" i="36"/>
  <c r="L59" i="36"/>
  <c r="L16" i="34" l="1"/>
  <c r="L19" i="34" s="1"/>
  <c r="N14" i="33"/>
  <c r="L15" i="34"/>
  <c r="L25" i="34" l="1"/>
  <c r="L21" i="34"/>
  <c r="L20" i="34"/>
  <c r="L22" i="34"/>
  <c r="L24" i="34"/>
  <c r="L23" i="34"/>
  <c r="L40" i="36"/>
  <c r="L57" i="36"/>
  <c r="L71" i="36"/>
  <c r="L64" i="36"/>
  <c r="L60" i="36"/>
  <c r="L67" i="36"/>
  <c r="L74" i="36"/>
  <c r="L61" i="36" l="1"/>
  <c r="L75" i="36"/>
  <c r="L57" i="49" s="1"/>
  <c r="N57" i="49" s="1"/>
  <c r="L68" i="36"/>
</calcChain>
</file>

<file path=xl/sharedStrings.xml><?xml version="1.0" encoding="utf-8"?>
<sst xmlns="http://schemas.openxmlformats.org/spreadsheetml/2006/main" count="1081" uniqueCount="698">
  <si>
    <t>(million €)</t>
  </si>
  <si>
    <t>Net interest income</t>
  </si>
  <si>
    <t>Staff costs</t>
  </si>
  <si>
    <t>Profit before Tax</t>
  </si>
  <si>
    <t>CONSOLIDATED BALANCE SHEET</t>
  </si>
  <si>
    <t>ASSETS</t>
  </si>
  <si>
    <t>Income tax expense</t>
  </si>
  <si>
    <t>Depreciation and amortization</t>
  </si>
  <si>
    <t>Greece</t>
  </si>
  <si>
    <t>Abroad</t>
  </si>
  <si>
    <t>LIABILITIES &amp; EQUITY</t>
  </si>
  <si>
    <t>CONSOLIDATED CUSTOMER DEPOSITS (per product type)</t>
  </si>
  <si>
    <t>CONSOLIDATED LOANS (per customer type)</t>
  </si>
  <si>
    <t>Group</t>
  </si>
  <si>
    <t>Affiliate companies in Greece</t>
  </si>
  <si>
    <t>OTHER INFORMATION</t>
  </si>
  <si>
    <t># Shares</t>
  </si>
  <si>
    <t>Ratings</t>
  </si>
  <si>
    <t>Back to Cover</t>
  </si>
  <si>
    <t>1. Savings</t>
  </si>
  <si>
    <t>2. Sight deposits and other deposits</t>
  </si>
  <si>
    <t>Composition</t>
  </si>
  <si>
    <t>CONSOLIDATED LOAN PORTFOLIO QUALITY</t>
  </si>
  <si>
    <t>ANALYSIS OF SELECTED BALANCE SHEET ITEMS</t>
  </si>
  <si>
    <t>1. Cash and balances with central banks</t>
  </si>
  <si>
    <t xml:space="preserve">2. Loans and advances to credit institutions  </t>
  </si>
  <si>
    <t>LOAN PORTFOLIO QUALITY</t>
  </si>
  <si>
    <t>Impairment losses on loans</t>
  </si>
  <si>
    <t>2. Mortgage loans</t>
  </si>
  <si>
    <t xml:space="preserve">3. Consumer loans </t>
  </si>
  <si>
    <t>LLRs</t>
  </si>
  <si>
    <t>LLRs / NPLs</t>
  </si>
  <si>
    <t>LLRs / gross loans</t>
  </si>
  <si>
    <t>QoQ</t>
  </si>
  <si>
    <t>3. Mortgage loans</t>
  </si>
  <si>
    <t xml:space="preserve">4. Consumer loans </t>
  </si>
  <si>
    <t>Discontinued operations</t>
  </si>
  <si>
    <t>Piraeus Bank Greece</t>
  </si>
  <si>
    <t>ECB</t>
  </si>
  <si>
    <t>Other</t>
  </si>
  <si>
    <t>CAPITAL ADEQUACY</t>
  </si>
  <si>
    <t>amounts in € mn</t>
  </si>
  <si>
    <t xml:space="preserve">Abroad </t>
  </si>
  <si>
    <t>CONSOLIDATED P&amp;L</t>
  </si>
  <si>
    <t>Consolidated P&amp;L</t>
  </si>
  <si>
    <t>NPEs / gross loans</t>
  </si>
  <si>
    <t>NPEs</t>
  </si>
  <si>
    <t>LLRs / NPEs</t>
  </si>
  <si>
    <t>Group (continued operations)</t>
  </si>
  <si>
    <t>Discontinued &amp; held for sale operations</t>
  </si>
  <si>
    <t>Branches</t>
  </si>
  <si>
    <t xml:space="preserve">Employees </t>
  </si>
  <si>
    <t>Reported</t>
  </si>
  <si>
    <t>Re-defaults</t>
  </si>
  <si>
    <t>Defaults</t>
  </si>
  <si>
    <t>NPE | End of period</t>
  </si>
  <si>
    <t>Write-offs</t>
  </si>
  <si>
    <t>Curings, Collections, Liquidations</t>
  </si>
  <si>
    <t>Total Regulatory Capital</t>
  </si>
  <si>
    <t>Risk Weighted Assets</t>
  </si>
  <si>
    <t>Common Equity Tier I</t>
  </si>
  <si>
    <t>Common Equity Tier I ratio</t>
  </si>
  <si>
    <t>Total Capital Ratio</t>
  </si>
  <si>
    <t>4. Mortgage loans</t>
  </si>
  <si>
    <t xml:space="preserve">5. Consumer loans </t>
  </si>
  <si>
    <t>6. Loans to Individuals</t>
  </si>
  <si>
    <t>Group data, amounts in €mn</t>
  </si>
  <si>
    <t>Loans</t>
  </si>
  <si>
    <t>Bancassurance</t>
  </si>
  <si>
    <t>Brokerage</t>
  </si>
  <si>
    <t>Financing</t>
  </si>
  <si>
    <t>Investment</t>
  </si>
  <si>
    <t>Payments</t>
  </si>
  <si>
    <t>Total</t>
  </si>
  <si>
    <t>Rents - maintenance</t>
  </si>
  <si>
    <t>Marketing - subscriptions</t>
  </si>
  <si>
    <t>Taxes</t>
  </si>
  <si>
    <t>DGS - SRF</t>
  </si>
  <si>
    <t>Share &amp; stock market data</t>
  </si>
  <si>
    <t>Price/tangible book ratio</t>
  </si>
  <si>
    <t>Tangible book value per share (€)</t>
  </si>
  <si>
    <t>Stage 1</t>
  </si>
  <si>
    <t>Stage 2</t>
  </si>
  <si>
    <t>CUSTOMER FUNDS</t>
  </si>
  <si>
    <t>1. Customer funds</t>
  </si>
  <si>
    <t>2. Saving and sight deposits</t>
  </si>
  <si>
    <t>3. Time deposits</t>
  </si>
  <si>
    <t>Retail</t>
  </si>
  <si>
    <t>CORE TOTAL</t>
  </si>
  <si>
    <t>GROUP</t>
  </si>
  <si>
    <t>Pre-tax RoA</t>
  </si>
  <si>
    <t>LOAN BOOK EXPOSURE</t>
  </si>
  <si>
    <t xml:space="preserve">Mortgages </t>
  </si>
  <si>
    <t>Total loans</t>
  </si>
  <si>
    <t>LOAN LOSS RESERVES</t>
  </si>
  <si>
    <t>PERFORMING LOANS</t>
  </si>
  <si>
    <t xml:space="preserve">     &gt;&gt; SB</t>
  </si>
  <si>
    <t xml:space="preserve">     &gt;&gt; Shipping</t>
  </si>
  <si>
    <t xml:space="preserve">    &gt;&gt;Mortgage loans</t>
  </si>
  <si>
    <t>Industry</t>
  </si>
  <si>
    <t>Manufacturing</t>
  </si>
  <si>
    <t>Hospitality</t>
  </si>
  <si>
    <t>Energy</t>
  </si>
  <si>
    <t>Segments</t>
  </si>
  <si>
    <t>PROFIT/(LOSS)</t>
  </si>
  <si>
    <t>BALANCE SHEET</t>
  </si>
  <si>
    <t>FINANCIAL HIGHLIGHTS</t>
  </si>
  <si>
    <t>NET INTEREST INCOME</t>
  </si>
  <si>
    <t>IFRS9 STAGES</t>
  </si>
  <si>
    <t>NPE FLOW DECOMPOSITION</t>
  </si>
  <si>
    <t xml:space="preserve">   &gt;&gt;Consumer loans &amp; credit cards</t>
  </si>
  <si>
    <t>Consumer loans/Credit cards</t>
  </si>
  <si>
    <t>EPS reported (€)</t>
  </si>
  <si>
    <t xml:space="preserve">Net fee and commission income </t>
  </si>
  <si>
    <t>NPEMU</t>
  </si>
  <si>
    <t>Corporate &amp; IB</t>
  </si>
  <si>
    <t>Financial markets</t>
  </si>
  <si>
    <t>Senior notes</t>
  </si>
  <si>
    <t xml:space="preserve">       of which one off items</t>
  </si>
  <si>
    <t>Total OpEx</t>
  </si>
  <si>
    <t>Impairments for loans</t>
  </si>
  <si>
    <t>Tax</t>
  </si>
  <si>
    <t>RATIOS &amp; METRICS</t>
  </si>
  <si>
    <t>SECURITIES (debt &amp; equity securities)</t>
  </si>
  <si>
    <t>Depreciation</t>
  </si>
  <si>
    <t>Core EPS  (€)</t>
  </si>
  <si>
    <t>Market capitalization (€mn)</t>
  </si>
  <si>
    <t>of which one-off</t>
  </si>
  <si>
    <t>Core EPS adj for AT1</t>
  </si>
  <si>
    <t>Normalized EPS adj for AT1</t>
  </si>
  <si>
    <t>Reported EPS adjusted for AT1</t>
  </si>
  <si>
    <t>Minorities</t>
  </si>
  <si>
    <t>Price/earnings normalized (%)</t>
  </si>
  <si>
    <t>EPS normalized (€)</t>
  </si>
  <si>
    <t>EPS CALCULATIONS</t>
  </si>
  <si>
    <t>Operating expenses</t>
  </si>
  <si>
    <t>Core EPS</t>
  </si>
  <si>
    <t>Normalized EPS</t>
  </si>
  <si>
    <t>Reported EPS adjusted</t>
  </si>
  <si>
    <t>n.m.</t>
  </si>
  <si>
    <t>IT - telco</t>
  </si>
  <si>
    <t>-</t>
  </si>
  <si>
    <t>Other impairments &amp; associates' income</t>
  </si>
  <si>
    <t>NIM on average assets</t>
  </si>
  <si>
    <t xml:space="preserve">     o/w Senior notes</t>
  </si>
  <si>
    <t>Total inflows</t>
  </si>
  <si>
    <t>o/w business</t>
  </si>
  <si>
    <t>o/w mortgage</t>
  </si>
  <si>
    <t>o/w consumer</t>
  </si>
  <si>
    <t>NPEs | Beginning of period</t>
  </si>
  <si>
    <t>Tax normalized</t>
  </si>
  <si>
    <t>* Gross loans, NPEs &amp; NPLs include loans and advances to customers fair valued through P&amp;L. LLRs include ECL allowance for impairment losses on loans and advances to customers mandatorily measured at FVTPL</t>
  </si>
  <si>
    <t>NFI/Assets</t>
  </si>
  <si>
    <t>6. Securities inc. derivatives</t>
  </si>
  <si>
    <t>Ba1 (Positive)</t>
  </si>
  <si>
    <t>NII/Assets</t>
  </si>
  <si>
    <t xml:space="preserve">          of which G&amp;A costs recurring</t>
  </si>
  <si>
    <t>Net revenues</t>
  </si>
  <si>
    <t>General expenses</t>
  </si>
  <si>
    <t>Net profit from continuing operations attributable to SHs</t>
  </si>
  <si>
    <t>Tangible equity</t>
  </si>
  <si>
    <t>Total equity</t>
  </si>
  <si>
    <t>NPE ratio</t>
  </si>
  <si>
    <t>Financial highlights</t>
  </si>
  <si>
    <t>EPS calculations</t>
  </si>
  <si>
    <t>Consolidated balance sheet</t>
  </si>
  <si>
    <t>Analysis of selected balance sheet items</t>
  </si>
  <si>
    <t>P&amp;L segment view</t>
  </si>
  <si>
    <t>Performing loans</t>
  </si>
  <si>
    <t>Loan portfolio quality</t>
  </si>
  <si>
    <t>IFRS9 stages</t>
  </si>
  <si>
    <t>NPE flow decomposition</t>
  </si>
  <si>
    <t>Capital adequacy</t>
  </si>
  <si>
    <t>Other information</t>
  </si>
  <si>
    <t xml:space="preserve">          of which staff costs recurring</t>
  </si>
  <si>
    <t xml:space="preserve">          of which depreciation recurring</t>
  </si>
  <si>
    <t>Associates' income</t>
  </si>
  <si>
    <t>Core operating profit</t>
  </si>
  <si>
    <t>AT1 coupon (mn)</t>
  </si>
  <si>
    <t>Normalized operating profit adjusted for AT1 cpn (mn)</t>
  </si>
  <si>
    <t>Reported net profit</t>
  </si>
  <si>
    <t>Reported net profit adjusted for AT1 cpn (mn)</t>
  </si>
  <si>
    <t>Outstanding number of shares (#)</t>
  </si>
  <si>
    <t>4. Cumulative provisions</t>
  </si>
  <si>
    <t>1. Loans to corporate entities</t>
  </si>
  <si>
    <t>3. Senior notes (HAPS securitizations)</t>
  </si>
  <si>
    <t>7. Total gross loans to customers</t>
  </si>
  <si>
    <t>6. Loans to individuals</t>
  </si>
  <si>
    <t xml:space="preserve">4. Total customer deposits </t>
  </si>
  <si>
    <t>4. Total customer deposits</t>
  </si>
  <si>
    <t>Core income</t>
  </si>
  <si>
    <t>Total net revenues</t>
  </si>
  <si>
    <t>Operating cost</t>
  </si>
  <si>
    <t>Profit before tax &amp; provisions</t>
  </si>
  <si>
    <t>Non controlling Interests</t>
  </si>
  <si>
    <t xml:space="preserve">Net profit / (Loss) attributable to shareholders </t>
  </si>
  <si>
    <t>Net Profit / (Loss) attributable to shareholders from discontinued operations</t>
  </si>
  <si>
    <t>Non controlling interests from discontinued operations</t>
  </si>
  <si>
    <t>Net loans</t>
  </si>
  <si>
    <t>Fixed income securities</t>
  </si>
  <si>
    <t>IRS asset side</t>
  </si>
  <si>
    <t>Other assets</t>
  </si>
  <si>
    <t>Interest income</t>
  </si>
  <si>
    <t>Customer deposits</t>
  </si>
  <si>
    <t>Due to banks including TLTRO</t>
  </si>
  <si>
    <t>Debt securities</t>
  </si>
  <si>
    <t>IRS liability side</t>
  </si>
  <si>
    <t>Other liabilities</t>
  </si>
  <si>
    <t>Interest expense</t>
  </si>
  <si>
    <t>Letters of guarantee</t>
  </si>
  <si>
    <t>Investment banking</t>
  </si>
  <si>
    <t>Asset management</t>
  </si>
  <si>
    <t>Funds transfer</t>
  </si>
  <si>
    <t>FX fees</t>
  </si>
  <si>
    <t>Rental and other income</t>
  </si>
  <si>
    <t>Legal - business services</t>
  </si>
  <si>
    <t>Pre provision income (PPI)</t>
  </si>
  <si>
    <t>Other impairment</t>
  </si>
  <si>
    <t>Associates income</t>
  </si>
  <si>
    <t>NIM over assets</t>
  </si>
  <si>
    <t>PPI over assets</t>
  </si>
  <si>
    <t>Cost of risk</t>
  </si>
  <si>
    <t>Corporate lending</t>
  </si>
  <si>
    <t xml:space="preserve">     &gt;&gt; Large corporate</t>
  </si>
  <si>
    <t>Retail lending</t>
  </si>
  <si>
    <t>Trade (retail &amp; wholesale)</t>
  </si>
  <si>
    <t>Construction &amp; real estate</t>
  </si>
  <si>
    <t>Transportation (incl shipping)</t>
  </si>
  <si>
    <t>Gross loans</t>
  </si>
  <si>
    <t>1. Loans to businesses</t>
  </si>
  <si>
    <t>5. Loans to individuals</t>
  </si>
  <si>
    <t>6. Total gross loans to customers</t>
  </si>
  <si>
    <t>Loans in arrears &gt; 90 days</t>
  </si>
  <si>
    <t>4. Loans to individuals</t>
  </si>
  <si>
    <t>5. Total loans in arrears</t>
  </si>
  <si>
    <t>5. Total loans to customers</t>
  </si>
  <si>
    <t>Loans in arrears &gt; 90 days / gross loans</t>
  </si>
  <si>
    <t>Corporate and public loans</t>
  </si>
  <si>
    <t>Phased in data</t>
  </si>
  <si>
    <t>* CORE: excluding one off elements and trading/other income; NORMALIZED: excluding one off elements and including normalized/recurring trading/other income</t>
  </si>
  <si>
    <t>Trading &amp; other income</t>
  </si>
  <si>
    <t>Other operating result</t>
  </si>
  <si>
    <t>AT1 coupon</t>
  </si>
  <si>
    <t>Core operating profit adjusted for AT1 cpn</t>
  </si>
  <si>
    <t>PIRAEUS BANK CREDIT RATINGS
(outlook)</t>
  </si>
  <si>
    <t>EMPLOYEES PER COUNTRY (#)</t>
  </si>
  <si>
    <t>NUMBER OF SHARES</t>
  </si>
  <si>
    <t>SHARE &amp; STOCK MARKET DATA</t>
  </si>
  <si>
    <t>BRANCHES PER COUNTRY (#)</t>
  </si>
  <si>
    <t>STAFF COSTS</t>
  </si>
  <si>
    <t xml:space="preserve">G&amp;A COSTS  </t>
  </si>
  <si>
    <t>GROUP FIGURES</t>
  </si>
  <si>
    <t>BB- (Positive)</t>
  </si>
  <si>
    <t>TBV per share</t>
  </si>
  <si>
    <t xml:space="preserve">Rental income and income from non-banking activities </t>
  </si>
  <si>
    <t>Q1.24</t>
  </si>
  <si>
    <t>Q1 2024</t>
  </si>
  <si>
    <t>Credit protection costs</t>
  </si>
  <si>
    <t>Servicing fees</t>
  </si>
  <si>
    <t>o/w servicing fees</t>
  </si>
  <si>
    <t>o/w credit protection costs</t>
  </si>
  <si>
    <t>Transaction Banking</t>
  </si>
  <si>
    <t xml:space="preserve">       of which one off trading &amp; other operating items</t>
  </si>
  <si>
    <t>5. Mutual funds</t>
  </si>
  <si>
    <t>7. Private &amp; institutional portfolios</t>
  </si>
  <si>
    <t>8. Total customer assets</t>
  </si>
  <si>
    <t>Assets</t>
  </si>
  <si>
    <t>MREL ratio</t>
  </si>
  <si>
    <t>MREL eligible liabilities</t>
  </si>
  <si>
    <t>Issuer</t>
  </si>
  <si>
    <t>Amount(€)</t>
  </si>
  <si>
    <t>Coupon</t>
  </si>
  <si>
    <t>Issue Date</t>
  </si>
  <si>
    <t>Call Date</t>
  </si>
  <si>
    <t>Reset Spread</t>
  </si>
  <si>
    <t>Maturity</t>
  </si>
  <si>
    <t>Denomination</t>
  </si>
  <si>
    <t>ISIN</t>
  </si>
  <si>
    <t>Documentation</t>
  </si>
  <si>
    <t xml:space="preserve">Piraeus Bank S.A. </t>
  </si>
  <si>
    <t>3.875% | Annual</t>
  </si>
  <si>
    <t>03-Nov-21</t>
  </si>
  <si>
    <t>03-Nov-26</t>
  </si>
  <si>
    <t>394.8 bps</t>
  </si>
  <si>
    <t>03-Nov-27</t>
  </si>
  <si>
    <t>100k +1k</t>
  </si>
  <si>
    <t>XS2400040460</t>
  </si>
  <si>
    <t>EMTN PROGRAMME</t>
  </si>
  <si>
    <t>7.25% | Annual</t>
  </si>
  <si>
    <t>13-Jul-23</t>
  </si>
  <si>
    <t>13-Jul-27</t>
  </si>
  <si>
    <t>369.2 bps</t>
  </si>
  <si>
    <t>13-Jul-28</t>
  </si>
  <si>
    <t>XS2644936259</t>
  </si>
  <si>
    <t>6.75% | Annual</t>
  </si>
  <si>
    <t>05-Dec-23</t>
  </si>
  <si>
    <t>05-Dec-28</t>
  </si>
  <si>
    <t>383.7 bps</t>
  </si>
  <si>
    <t>05-Dec-29</t>
  </si>
  <si>
    <t>XS2728486536</t>
  </si>
  <si>
    <t>5.00% | Annual</t>
  </si>
  <si>
    <t>16-Apr-24</t>
  </si>
  <si>
    <t>16-Apr-29</t>
  </si>
  <si>
    <t>224.5 bps</t>
  </si>
  <si>
    <t>16-Apr-30</t>
  </si>
  <si>
    <t>XS2802909478</t>
  </si>
  <si>
    <t>477.3 bps</t>
  </si>
  <si>
    <t>XS2747093321</t>
  </si>
  <si>
    <t>Perpetual</t>
  </si>
  <si>
    <t>STANDALONE</t>
  </si>
  <si>
    <t>€500mn 3.875% 
6NC5 SP Green Notes 
due 2027</t>
  </si>
  <si>
    <t>€500mn 7.25% 
5NC4 SP Notes 
due 2028</t>
  </si>
  <si>
    <t>€500mn 6.75% 
6NC5 SP Notes 
due 2029</t>
  </si>
  <si>
    <t>€500mn 5.00% 
6NC5 SP Notes 
due 2030</t>
  </si>
  <si>
    <t xml:space="preserve">€500mn 7.250% 
10.25NC5.25 Tier 2 
due 2034 </t>
  </si>
  <si>
    <t>6. Piraeus Securities</t>
  </si>
  <si>
    <t>Avg 3m Euribor</t>
  </si>
  <si>
    <t>Fixed income securities yield</t>
  </si>
  <si>
    <t>Debt securities cost</t>
  </si>
  <si>
    <t>Customer deposits cost</t>
  </si>
  <si>
    <t>1. Amortised cost</t>
  </si>
  <si>
    <t>2. GGBs</t>
  </si>
  <si>
    <t>4. EU Sovereign</t>
  </si>
  <si>
    <t>5. Other Bonds</t>
  </si>
  <si>
    <t>6. FVTOCI</t>
  </si>
  <si>
    <t>7. GGBs</t>
  </si>
  <si>
    <t>9. EU Sovereign</t>
  </si>
  <si>
    <t>10. Other Bonds</t>
  </si>
  <si>
    <t>11. Equity</t>
  </si>
  <si>
    <t>12. FVTPL</t>
  </si>
  <si>
    <t>13. GGBs</t>
  </si>
  <si>
    <t>15. EU Sovereign</t>
  </si>
  <si>
    <t>16. Other Bonds</t>
  </si>
  <si>
    <t>17. Equity</t>
  </si>
  <si>
    <t>18. Derivative financial instruments</t>
  </si>
  <si>
    <t>19. Total securities</t>
  </si>
  <si>
    <t>Q2 2024</t>
  </si>
  <si>
    <t>Q2.24</t>
  </si>
  <si>
    <r>
      <t xml:space="preserve">Total CIB </t>
    </r>
    <r>
      <rPr>
        <sz val="12"/>
        <color rgb="FF002F30"/>
        <rFont val="Piraeus Open Sans"/>
        <family val="3"/>
      </rPr>
      <t>(Corporate, SME &amp; Shipping)</t>
    </r>
  </si>
  <si>
    <r>
      <t>Pro-Forma</t>
    </r>
    <r>
      <rPr>
        <b/>
        <vertAlign val="superscript"/>
        <sz val="12"/>
        <color rgb="FF002F30"/>
        <rFont val="Piraeus Open Sans"/>
        <family val="3"/>
      </rPr>
      <t>(1)</t>
    </r>
  </si>
  <si>
    <r>
      <t xml:space="preserve">Profit before tax </t>
    </r>
    <r>
      <rPr>
        <b/>
        <sz val="12"/>
        <color rgb="FF296ED4"/>
        <rFont val="Piraeus Open Sans"/>
        <family val="3"/>
      </rPr>
      <t>reported</t>
    </r>
  </si>
  <si>
    <r>
      <rPr>
        <sz val="12"/>
        <color rgb="FF002F30"/>
        <rFont val="Piraeus Open Sans"/>
        <family val="3"/>
      </rPr>
      <t xml:space="preserve">Trading &amp; other income </t>
    </r>
    <r>
      <rPr>
        <b/>
        <sz val="12"/>
        <color rgb="FF296ED4"/>
        <rFont val="Piraeus Open Sans"/>
        <family val="3"/>
      </rPr>
      <t>normalized</t>
    </r>
  </si>
  <si>
    <r>
      <t>Core EPS (€)</t>
    </r>
    <r>
      <rPr>
        <b/>
        <sz val="12"/>
        <color rgb="FFA8A30A"/>
        <rFont val="Piraeus Open Sans"/>
        <family val="3"/>
      </rPr>
      <t xml:space="preserve"> </t>
    </r>
    <r>
      <rPr>
        <b/>
        <sz val="12"/>
        <color rgb="FF296ED4"/>
        <rFont val="Piraeus Open Sans"/>
        <family val="3"/>
      </rPr>
      <t>adjusted for AT1 coupon</t>
    </r>
  </si>
  <si>
    <r>
      <t>Normalized EPS (€)</t>
    </r>
    <r>
      <rPr>
        <b/>
        <sz val="12"/>
        <color rgb="FF296ED4"/>
        <rFont val="Piraeus Open Sans"/>
        <family val="3"/>
      </rPr>
      <t xml:space="preserve"> adjusted for AT1 coupon</t>
    </r>
  </si>
  <si>
    <r>
      <t>Reported EPS (€)</t>
    </r>
    <r>
      <rPr>
        <b/>
        <sz val="12"/>
        <color theme="0" tint="-0.499984740745262"/>
        <rFont val="Piraeus Open Sans"/>
        <family val="3"/>
      </rPr>
      <t xml:space="preserve"> </t>
    </r>
    <r>
      <rPr>
        <b/>
        <sz val="12"/>
        <color rgb="FF296ED4"/>
        <rFont val="Piraeus Open Sans"/>
        <family val="3"/>
      </rPr>
      <t>adjusted for AT1 coupon</t>
    </r>
  </si>
  <si>
    <r>
      <t xml:space="preserve">RoaTBV </t>
    </r>
    <r>
      <rPr>
        <b/>
        <sz val="12"/>
        <color rgb="FF296ED4"/>
        <rFont val="Piraeus Open Sans"/>
        <family val="3"/>
      </rPr>
      <t>normalized adjusted for AT1 coupon</t>
    </r>
  </si>
  <si>
    <r>
      <t xml:space="preserve">RoaA </t>
    </r>
    <r>
      <rPr>
        <b/>
        <sz val="12"/>
        <color rgb="FF296ED4"/>
        <rFont val="Piraeus Open Sans"/>
        <family val="3"/>
      </rPr>
      <t>normalized adjusted for AT1 coupon</t>
    </r>
  </si>
  <si>
    <r>
      <t>Net profit over revenues</t>
    </r>
    <r>
      <rPr>
        <b/>
        <sz val="12"/>
        <color rgb="FFA8A30A"/>
        <rFont val="Piraeus Open Sans"/>
        <family val="3"/>
      </rPr>
      <t xml:space="preserve"> </t>
    </r>
    <r>
      <rPr>
        <b/>
        <sz val="12"/>
        <color rgb="FF296ED4"/>
        <rFont val="Piraeus Open Sans"/>
        <family val="3"/>
      </rPr>
      <t>core adjusted for AT1 coupon</t>
    </r>
  </si>
  <si>
    <r>
      <t xml:space="preserve">CoR </t>
    </r>
    <r>
      <rPr>
        <b/>
        <sz val="12"/>
        <color rgb="FF296ED4"/>
        <rFont val="Piraeus Open Sans"/>
        <family val="3"/>
      </rPr>
      <t>underlying</t>
    </r>
  </si>
  <si>
    <r>
      <t xml:space="preserve">CoR </t>
    </r>
    <r>
      <rPr>
        <b/>
        <sz val="12"/>
        <color rgb="FF296ED4"/>
        <rFont val="Piraeus Open Sans"/>
        <family val="3"/>
      </rPr>
      <t>organic</t>
    </r>
  </si>
  <si>
    <r>
      <t xml:space="preserve">Pre provision income </t>
    </r>
    <r>
      <rPr>
        <b/>
        <sz val="12"/>
        <color rgb="FF296ED4"/>
        <rFont val="Piraeus Open Sans"/>
        <family val="3"/>
      </rPr>
      <t>normalized</t>
    </r>
  </si>
  <si>
    <t>Operating costs</t>
  </si>
  <si>
    <t>OPERATING COSTS</t>
  </si>
  <si>
    <t>4. Total property portfolio</t>
  </si>
  <si>
    <t>1. Investment property</t>
  </si>
  <si>
    <t>2. Inventory property</t>
  </si>
  <si>
    <t>3. Own property</t>
  </si>
  <si>
    <t>POCI not credit impaired</t>
  </si>
  <si>
    <t>Stage 3 &amp; POCI credit impaired</t>
  </si>
  <si>
    <t>CIB</t>
  </si>
  <si>
    <t>Mortgages</t>
  </si>
  <si>
    <t>Consumer/SB</t>
  </si>
  <si>
    <t>XS2845167613</t>
  </si>
  <si>
    <t>172.3 bps</t>
  </si>
  <si>
    <t>4.625% | Annual</t>
  </si>
  <si>
    <t>€650mn 4.625% 
5NC4 SP Green Notes 
due 2029</t>
  </si>
  <si>
    <t>3. G-TBills</t>
  </si>
  <si>
    <t>8. G-TBills</t>
  </si>
  <si>
    <t>14. G-TBills</t>
  </si>
  <si>
    <t>DEBT SECURITIES</t>
  </si>
  <si>
    <t>MREL ratio (Bank Group data)</t>
  </si>
  <si>
    <t>Q3 2024</t>
  </si>
  <si>
    <t>Q3.24</t>
  </si>
  <si>
    <t>€650mn 5.375%                                                                                     11NC6 T2 Notes 
due 2035</t>
  </si>
  <si>
    <t>5.375% | Annual</t>
  </si>
  <si>
    <t xml:space="preserve">XS2901369897 </t>
  </si>
  <si>
    <t>315 bps</t>
  </si>
  <si>
    <t>PE spreads</t>
  </si>
  <si>
    <t>Time</t>
  </si>
  <si>
    <t>Sight-savings</t>
  </si>
  <si>
    <t>Baa3 (Positive)</t>
  </si>
  <si>
    <t>BB (Positive)</t>
  </si>
  <si>
    <r>
      <t xml:space="preserve">Net profit </t>
    </r>
    <r>
      <rPr>
        <b/>
        <sz val="12"/>
        <color rgb="FF296ED4"/>
        <rFont val="Piraeus Open Sans"/>
        <family val="3"/>
      </rPr>
      <t>normalized</t>
    </r>
  </si>
  <si>
    <t>AT1</t>
  </si>
  <si>
    <t>Tier 2</t>
  </si>
  <si>
    <t>Senior Preferred</t>
  </si>
  <si>
    <t>* EPS figures are calculated with the outstanding number of shares. From Q1.24 onwards, EPS are calculated on period-end outstanding number of shares adjusted for treasury shares</t>
  </si>
  <si>
    <t>Q4.24</t>
  </si>
  <si>
    <t>Q4 2024</t>
  </si>
  <si>
    <r>
      <t xml:space="preserve">NFI/Revenues </t>
    </r>
    <r>
      <rPr>
        <b/>
        <sz val="12"/>
        <color rgb="FF296ED4"/>
        <rFont val="Piraeus Open Sans"/>
        <family val="3"/>
      </rPr>
      <t>normalized</t>
    </r>
  </si>
  <si>
    <r>
      <t xml:space="preserve">RoaTBV </t>
    </r>
    <r>
      <rPr>
        <b/>
        <sz val="12"/>
        <color rgb="FF296ED4"/>
        <rFont val="Piraeus Open Sans"/>
        <family val="3"/>
      </rPr>
      <t>reported</t>
    </r>
    <r>
      <rPr>
        <b/>
        <sz val="12"/>
        <color rgb="FF002F30"/>
        <rFont val="Piraeus Open Sans"/>
        <family val="3"/>
      </rPr>
      <t xml:space="preserve"> </t>
    </r>
    <r>
      <rPr>
        <b/>
        <sz val="12"/>
        <color rgb="FF296ED4"/>
        <rFont val="Piraeus Open Sans"/>
        <family val="3"/>
      </rPr>
      <t>adjusted for AT1 coupon</t>
    </r>
  </si>
  <si>
    <r>
      <t xml:space="preserve">RoaA </t>
    </r>
    <r>
      <rPr>
        <b/>
        <sz val="12"/>
        <color rgb="FF296ED4"/>
        <rFont val="Piraeus Open Sans"/>
        <family val="3"/>
      </rPr>
      <t>reported adjusted for AT1 coupon</t>
    </r>
  </si>
  <si>
    <t>o/w one-off</t>
  </si>
  <si>
    <t xml:space="preserve">of which other one-off </t>
  </si>
  <si>
    <t>Ermis I</t>
  </si>
  <si>
    <t>Ermis II</t>
  </si>
  <si>
    <t>Investors</t>
  </si>
  <si>
    <t>Effective date</t>
  </si>
  <si>
    <t>Type of loans</t>
  </si>
  <si>
    <t>CRC</t>
  </si>
  <si>
    <t>amounts in €mn</t>
  </si>
  <si>
    <t>Ermis VII</t>
  </si>
  <si>
    <t>Ermis VI</t>
  </si>
  <si>
    <t>EBRD, CRC &amp; VELD</t>
  </si>
  <si>
    <t>EBRD &amp; CQS</t>
  </si>
  <si>
    <t>Portfolio perimeter 
at inception</t>
  </si>
  <si>
    <t>RWA release 
at inception</t>
  </si>
  <si>
    <t>Corporate / SME / SB</t>
  </si>
  <si>
    <t>Shipping</t>
  </si>
  <si>
    <t>SYNTHETIC SECURITIZATIONS OF PERFORMING LOANS</t>
  </si>
  <si>
    <t>Synthetic securitizations of performing loans</t>
  </si>
  <si>
    <t>Other Discontinued</t>
  </si>
  <si>
    <t>Q1.25</t>
  </si>
  <si>
    <t>Q1 2025</t>
  </si>
  <si>
    <t>BB+ (Positive)</t>
  </si>
  <si>
    <t>BB+ (Stable)</t>
  </si>
  <si>
    <t>Baa2 (Stable)</t>
  </si>
  <si>
    <r>
      <t>Profit before tax</t>
    </r>
    <r>
      <rPr>
        <b/>
        <sz val="12"/>
        <color rgb="FF3885FF"/>
        <rFont val="Piraeus Open Sans"/>
        <family val="3"/>
      </rPr>
      <t xml:space="preserve"> </t>
    </r>
    <r>
      <rPr>
        <b/>
        <sz val="12"/>
        <color rgb="FF296ED4"/>
        <rFont val="Piraeus Open Sans"/>
        <family val="3"/>
      </rPr>
      <t>normalized</t>
    </r>
  </si>
  <si>
    <r>
      <t>Net profit</t>
    </r>
    <r>
      <rPr>
        <b/>
        <sz val="12"/>
        <color rgb="FF3885FF"/>
        <rFont val="Piraeus Open Sans"/>
        <family val="3"/>
      </rPr>
      <t xml:space="preserve"> </t>
    </r>
    <r>
      <rPr>
        <b/>
        <sz val="12"/>
        <color rgb="FF296ED4"/>
        <rFont val="Piraeus Open Sans"/>
        <family val="3"/>
      </rPr>
      <t>core</t>
    </r>
  </si>
  <si>
    <t>Core operating income</t>
  </si>
  <si>
    <t>Q2 2025</t>
  </si>
  <si>
    <t>H1 2025</t>
  </si>
  <si>
    <t>Q2.25</t>
  </si>
  <si>
    <t xml:space="preserve">€400mn 6.75% 
PerpNC5.5 AT1 Notes </t>
  </si>
  <si>
    <t>6.75% | Semi-Annual</t>
  </si>
  <si>
    <t>459.6 bps</t>
  </si>
  <si>
    <t>200k x 1k</t>
  </si>
  <si>
    <t>XS3103647031</t>
  </si>
  <si>
    <t>€500mn 3.000% 
3.5NC2.5 SP Green Notes 
due 2028</t>
  </si>
  <si>
    <t>3.000% | Annual</t>
  </si>
  <si>
    <t>115 bps</t>
  </si>
  <si>
    <t>XS3085616079</t>
  </si>
  <si>
    <r>
      <t xml:space="preserve">Assets adjusted </t>
    </r>
    <r>
      <rPr>
        <sz val="12"/>
        <color rgb="FF002F30"/>
        <rFont val="Piraeus Open Sans"/>
        <family val="3"/>
      </rPr>
      <t>(excl. discontinued operations, seasonal agri-loan)</t>
    </r>
  </si>
  <si>
    <r>
      <t>2. Seasonal agri-loan</t>
    </r>
    <r>
      <rPr>
        <b/>
        <vertAlign val="superscript"/>
        <sz val="12"/>
        <color rgb="FF002F30"/>
        <rFont val="Piraeus Open Sans"/>
        <family val="3"/>
      </rPr>
      <t>1</t>
    </r>
  </si>
  <si>
    <t>(1) Agri-loan relates to a seasonal funding facility to Greek farmers (EU subsidized bridge financing); the loan is granted close to year end and is repaid early next year</t>
  </si>
  <si>
    <t>2.Seasonal agri-loan to farmers</t>
  </si>
  <si>
    <t>Rating (Moody's/S&amp;P/Fitch)</t>
  </si>
  <si>
    <t>Baa2 / BB+ / -</t>
  </si>
  <si>
    <t>Baa2 / - / -</t>
  </si>
  <si>
    <t>B1 / - / -</t>
  </si>
  <si>
    <t>3. Gross loans and advances to customers (includes loans at FVTPL)</t>
  </si>
  <si>
    <t>Cards</t>
  </si>
  <si>
    <t>Regulatory capital requirements</t>
  </si>
  <si>
    <t>Pillar 1 requirement</t>
  </si>
  <si>
    <t>Pillar 2 requirement</t>
  </si>
  <si>
    <t>Capital conservation buffer</t>
  </si>
  <si>
    <t>O-SII buffer</t>
  </si>
  <si>
    <t>CET1 requirement</t>
  </si>
  <si>
    <t>Overal capital requirement</t>
  </si>
  <si>
    <t>Pillar 2 guidance (P2G)</t>
  </si>
  <si>
    <t>Overall capital requirement plus P2G</t>
  </si>
  <si>
    <t>MREL requirement</t>
  </si>
  <si>
    <t>DIVIDENDS &amp; SHARE BUY BACK</t>
  </si>
  <si>
    <t>Dividends (€mn)</t>
  </si>
  <si>
    <t>Net profit for the period  (€mn)</t>
  </si>
  <si>
    <t>Number of outstanding shares (#mn)</t>
  </si>
  <si>
    <t>31.03.2025</t>
  </si>
  <si>
    <t>31.12.2024</t>
  </si>
  <si>
    <t>31.12.2023</t>
  </si>
  <si>
    <t>CUSTOMERS' DATA</t>
  </si>
  <si>
    <t>Q3 2025</t>
  </si>
  <si>
    <t>Q3.25</t>
  </si>
  <si>
    <t xml:space="preserve">€600mn 6.125% 
PerpNC7 AT1 Notes </t>
  </si>
  <si>
    <t>6.125% | Semi-Annual</t>
  </si>
  <si>
    <t>369.6 bps</t>
  </si>
  <si>
    <t>XS3201977595</t>
  </si>
  <si>
    <r>
      <t>Market capitalization</t>
    </r>
    <r>
      <rPr>
        <b/>
        <vertAlign val="superscript"/>
        <sz val="12"/>
        <color rgb="FF002F30"/>
        <rFont val="Piraeus Open Sans"/>
        <family val="3"/>
      </rPr>
      <t>(1)</t>
    </r>
    <r>
      <rPr>
        <b/>
        <sz val="12"/>
        <color rgb="FF002F30"/>
        <rFont val="Piraeus Open Sans"/>
        <family val="3"/>
      </rPr>
      <t xml:space="preserve">  (€mn)</t>
    </r>
  </si>
  <si>
    <r>
      <t>Distribution payout ratio</t>
    </r>
    <r>
      <rPr>
        <vertAlign val="superscript"/>
        <sz val="12"/>
        <color rgb="FF002F30"/>
        <rFont val="Piraeus Open Sans"/>
        <family val="3"/>
      </rPr>
      <t>(2)</t>
    </r>
    <r>
      <rPr>
        <sz val="12"/>
        <color rgb="FF002F30"/>
        <rFont val="Piraeus Open Sans"/>
        <family val="3"/>
      </rPr>
      <t xml:space="preserve"> (%)</t>
    </r>
  </si>
  <si>
    <r>
      <t>Dividend per share</t>
    </r>
    <r>
      <rPr>
        <vertAlign val="superscript"/>
        <sz val="12"/>
        <color rgb="FF002F30"/>
        <rFont val="Piraeus Open Sans"/>
        <family val="3"/>
      </rPr>
      <t>(3)</t>
    </r>
  </si>
  <si>
    <r>
      <t>Dividend yield</t>
    </r>
    <r>
      <rPr>
        <vertAlign val="superscript"/>
        <sz val="12"/>
        <color rgb="FF002F30"/>
        <rFont val="Piraeus Open Sans"/>
        <family val="3"/>
      </rPr>
      <t>(4)</t>
    </r>
    <r>
      <rPr>
        <sz val="12"/>
        <color rgb="FF002F30"/>
        <rFont val="Piraeus Open Sans"/>
        <family val="3"/>
      </rPr>
      <t xml:space="preserve"> (%)</t>
    </r>
  </si>
  <si>
    <t>(1) Market capitalization as of 31 December of the respective year</t>
  </si>
  <si>
    <t>(4) Dividend yield is calculated on the market capitalization of the Bank as at the 31 December of the previous year</t>
  </si>
  <si>
    <t># customers transacting online per week (th)</t>
  </si>
  <si>
    <t>30.09.2025</t>
  </si>
  <si>
    <t>30.06.2025</t>
  </si>
  <si>
    <t>Customers' data</t>
  </si>
  <si>
    <t>Dividends and share buy back</t>
  </si>
  <si>
    <t>Retail cross-sell ratio (avg)</t>
  </si>
  <si>
    <t># large corporate customers (th)</t>
  </si>
  <si>
    <t>4.6 / 4.7</t>
  </si>
  <si>
    <r>
      <t xml:space="preserve">     &gt;&gt; SME / Agri</t>
    </r>
    <r>
      <rPr>
        <vertAlign val="superscript"/>
        <sz val="12"/>
        <color rgb="FF002F30"/>
        <rFont val="Piraeus Open Sans"/>
        <family val="3"/>
      </rPr>
      <t>(1)</t>
    </r>
  </si>
  <si>
    <r>
      <t>2. Mortgage loans</t>
    </r>
    <r>
      <rPr>
        <vertAlign val="superscript"/>
        <sz val="12"/>
        <color rgb="FF002F30"/>
        <rFont val="Piraeus Open Sans"/>
        <family val="3"/>
      </rPr>
      <t>(1)</t>
    </r>
  </si>
  <si>
    <r>
      <t>Stage 3 &amp; POCI credit impaired</t>
    </r>
    <r>
      <rPr>
        <vertAlign val="superscript"/>
        <sz val="12"/>
        <color rgb="FF002F30"/>
        <rFont val="Piraeus Open Sans"/>
        <family val="3"/>
      </rPr>
      <t>(1)</t>
    </r>
  </si>
  <si>
    <r>
      <t>o/w mortgage</t>
    </r>
    <r>
      <rPr>
        <vertAlign val="superscript"/>
        <sz val="12"/>
        <color rgb="FF002F30"/>
        <rFont val="Piraeus Open Sans"/>
        <family val="3"/>
      </rPr>
      <t>(1)</t>
    </r>
  </si>
  <si>
    <t>Baa2 / - / BBB-</t>
  </si>
  <si>
    <t>Share buybacks  (€mn)*</t>
  </si>
  <si>
    <t>4.5 / 4.5</t>
  </si>
  <si>
    <t>Piraeus app ratings (google play store/apple store)</t>
  </si>
  <si>
    <t>(2) active digital banking customers are customers with at least 1 login in internet or mobile banking year-to-date</t>
  </si>
  <si>
    <t>(1) active retail customers are customers with at least 1 transaction during the last 6 months, or average outstanding deposit/investment/loan position of 1,000 during the last 12 months</t>
  </si>
  <si>
    <r>
      <t># active retail customers</t>
    </r>
    <r>
      <rPr>
        <vertAlign val="superscript"/>
        <sz val="12"/>
        <color rgb="FF002F30"/>
        <rFont val="Piraeus Open Sans"/>
        <family val="3"/>
      </rPr>
      <t>(1)</t>
    </r>
    <r>
      <rPr>
        <sz val="12"/>
        <color rgb="FF002F30"/>
        <rFont val="Piraeus Open Sans"/>
        <family val="3"/>
      </rPr>
      <t xml:space="preserve"> (mn)</t>
    </r>
  </si>
  <si>
    <r>
      <t># active digital customers</t>
    </r>
    <r>
      <rPr>
        <vertAlign val="superscript"/>
        <sz val="12"/>
        <color rgb="FF002F30"/>
        <rFont val="Piraeus Open Sans"/>
        <family val="3"/>
      </rPr>
      <t>(2)</t>
    </r>
    <r>
      <rPr>
        <sz val="12"/>
        <color rgb="FF002F30"/>
        <rFont val="Piraeus Open Sans"/>
        <family val="3"/>
      </rPr>
      <t xml:space="preserve"> (mn)</t>
    </r>
  </si>
  <si>
    <t># SME customers (th)</t>
  </si>
  <si>
    <t>(2) Distribution payout ratio calculated on the referenced year's net profit for the period</t>
  </si>
  <si>
    <t>(2) Inventory property is included in the "Other assets" line in IFRS accounts</t>
  </si>
  <si>
    <r>
      <t>PROPERTY PORTFOLIO</t>
    </r>
    <r>
      <rPr>
        <b/>
        <u/>
        <vertAlign val="superscript"/>
        <sz val="12"/>
        <color rgb="FF002F30"/>
        <rFont val="Piraeus Open Sans"/>
        <family val="3"/>
      </rPr>
      <t>2</t>
    </r>
  </si>
  <si>
    <r>
      <t>4. Assets under management</t>
    </r>
    <r>
      <rPr>
        <b/>
        <vertAlign val="superscript"/>
        <sz val="12"/>
        <color rgb="FF002F30"/>
        <rFont val="Piraeus Open Sans"/>
        <family val="3"/>
      </rPr>
      <t>3</t>
    </r>
  </si>
  <si>
    <r>
      <t>Non-maturing deposits hedging cost</t>
    </r>
    <r>
      <rPr>
        <vertAlign val="superscript"/>
        <sz val="12"/>
        <color rgb="FF002F30"/>
        <rFont val="Piraeus Open Sans"/>
        <family val="3"/>
      </rPr>
      <t>(1)</t>
    </r>
  </si>
  <si>
    <t>(2) Balances and related income exclude senior tranches and CLOs</t>
  </si>
  <si>
    <r>
      <t>NIM on average interest earning assets</t>
    </r>
    <r>
      <rPr>
        <b/>
        <vertAlign val="superscript"/>
        <sz val="14"/>
        <color rgb="FF002F30"/>
        <rFont val="Piraeus Open Sans"/>
        <family val="3"/>
      </rPr>
      <t>(3)</t>
    </r>
  </si>
  <si>
    <t>(1) Outstanding number of shares</t>
  </si>
  <si>
    <t>(2) From Q1.23 onwards, period-end outstanding number of shares adjusted for treasury shares</t>
  </si>
  <si>
    <t>(3) Weighted average number of shares in issue for the basic EPS calculation</t>
  </si>
  <si>
    <t>(4) Weighted average number of shares in issue for the diluted EPS calculation</t>
  </si>
  <si>
    <r>
      <t>Moody's</t>
    </r>
    <r>
      <rPr>
        <vertAlign val="superscript"/>
        <sz val="12"/>
        <color rgb="FF002F30"/>
        <rFont val="Piraeus Open Sans"/>
        <family val="3"/>
      </rPr>
      <t>(1)</t>
    </r>
  </si>
  <si>
    <t>(1) SME/Agri segment in Jun.25, included c.0.15bn of agri bridge financing</t>
  </si>
  <si>
    <t>(3) Dividend per share is calculated on the adjusted for own shares number of outstanding shares as at the 31 December of the previous year</t>
  </si>
  <si>
    <r>
      <t>Pre provision income</t>
    </r>
    <r>
      <rPr>
        <b/>
        <sz val="12"/>
        <color rgb="FFF55240"/>
        <rFont val="Piraeus Open Sans"/>
        <family val="3"/>
      </rPr>
      <t xml:space="preserve"> </t>
    </r>
    <r>
      <rPr>
        <b/>
        <sz val="12"/>
        <color rgb="FF296ED4"/>
        <rFont val="Piraeus Open Sans"/>
        <family val="3"/>
      </rPr>
      <t>reported</t>
    </r>
  </si>
  <si>
    <r>
      <t>PE yield</t>
    </r>
    <r>
      <rPr>
        <b/>
        <vertAlign val="superscript"/>
        <sz val="14"/>
        <color rgb="FF002F30"/>
        <rFont val="Piraeus Open Sans"/>
        <family val="3"/>
      </rPr>
      <t>(2)</t>
    </r>
  </si>
  <si>
    <t>NET CREDIT EXPANSION</t>
  </si>
  <si>
    <t>Snappi</t>
  </si>
  <si>
    <t>P&amp;L Snappi</t>
  </si>
  <si>
    <t>Q4 2025</t>
  </si>
  <si>
    <t>Impairment</t>
  </si>
  <si>
    <t>Profit before tax</t>
  </si>
  <si>
    <t>Net profit attributable to SHs</t>
  </si>
  <si>
    <t>Net profit</t>
  </si>
  <si>
    <t>Consumer</t>
  </si>
  <si>
    <t>SB</t>
  </si>
  <si>
    <t>SME  /Agri</t>
  </si>
  <si>
    <t>(1) Large corporate includes Structured finance, Real estate and PFM CLOs</t>
  </si>
  <si>
    <t>(2) SME/Agri includes Leasing &amp; Factoring</t>
  </si>
  <si>
    <t>NPE coverage</t>
  </si>
  <si>
    <t>Q4.25</t>
  </si>
  <si>
    <t>31.12.2025</t>
  </si>
  <si>
    <t>7. Insurance assets</t>
  </si>
  <si>
    <t>8. Investments in associates</t>
  </si>
  <si>
    <t>9. Goodwill</t>
  </si>
  <si>
    <t>10. Other intagible assets</t>
  </si>
  <si>
    <t>11. Property, plant and equipment</t>
  </si>
  <si>
    <t>12. Deferred tax assets</t>
  </si>
  <si>
    <t>13. Other assets</t>
  </si>
  <si>
    <t>15. Total assets</t>
  </si>
  <si>
    <t>16. Due to credit institutions</t>
  </si>
  <si>
    <t>17. Liabilities at FV through PL</t>
  </si>
  <si>
    <t xml:space="preserve">19. Due to customers </t>
  </si>
  <si>
    <t>20. Debt securities and other borrowed funds</t>
  </si>
  <si>
    <t>21. Insurance liabilities</t>
  </si>
  <si>
    <t>22. Deferred tax liabilities</t>
  </si>
  <si>
    <t>23. Retirement benefit obligations</t>
  </si>
  <si>
    <t>24. Other liabilities</t>
  </si>
  <si>
    <t>25. Liabilities from discontinued operations &amp; held for sale</t>
  </si>
  <si>
    <t>26. Total liabilities</t>
  </si>
  <si>
    <t>27. Shareholders' funds</t>
  </si>
  <si>
    <t>28. Additional Tier I</t>
  </si>
  <si>
    <t>29. Non controlling Interests</t>
  </si>
  <si>
    <t>30. Total equity</t>
  </si>
  <si>
    <t>31. Tangible equity</t>
  </si>
  <si>
    <t>32. Total liabilities &amp; equity</t>
  </si>
  <si>
    <t>3. Total property portfolio</t>
  </si>
  <si>
    <t>1. Repossessed assets</t>
  </si>
  <si>
    <t>2. Non-repossessed assets</t>
  </si>
  <si>
    <t>DEPRECIATION COSTS</t>
  </si>
  <si>
    <t>Ethniki Insurance</t>
  </si>
  <si>
    <t>Ermis VIII</t>
  </si>
  <si>
    <t>CRC &amp; AXA</t>
  </si>
  <si>
    <t>BBB- (Stable)</t>
  </si>
  <si>
    <t xml:space="preserve">(1) Moody’s Rating refers to Senior Debt
</t>
  </si>
  <si>
    <t>Rental, non-banking and insurance activities income</t>
  </si>
  <si>
    <t xml:space="preserve">Snappi </t>
  </si>
  <si>
    <t>Depreciation run-rate</t>
  </si>
  <si>
    <t xml:space="preserve">Total </t>
  </si>
  <si>
    <t>Grand Total</t>
  </si>
  <si>
    <t>VES</t>
  </si>
  <si>
    <t>Staff (recurring)</t>
  </si>
  <si>
    <t>Ethniki Insurance selected items</t>
  </si>
  <si>
    <t>Gross Written Premium per line of business (€mn)</t>
  </si>
  <si>
    <t>Health</t>
  </si>
  <si>
    <t>Investments &amp; Savings</t>
  </si>
  <si>
    <t>Life Protection</t>
  </si>
  <si>
    <t>Gross Written Premium per channel (€mn)</t>
  </si>
  <si>
    <t>Insurance/reinsurance contract assets</t>
  </si>
  <si>
    <t>Investment assets related to insurance business</t>
  </si>
  <si>
    <t>Insurance/reinsurance contract liabilities</t>
  </si>
  <si>
    <t>Investment contract liabilities related to insurance</t>
  </si>
  <si>
    <t>Net Revenues</t>
  </si>
  <si>
    <t xml:space="preserve">Operating expenses </t>
  </si>
  <si>
    <t>Profit Before Tax</t>
  </si>
  <si>
    <t>Basic Solvency II Measures</t>
  </si>
  <si>
    <t>Solvency Ratio %</t>
  </si>
  <si>
    <t>Property &amp; Casualty</t>
  </si>
  <si>
    <t>€500mn 3.375% 
6NC5 SP Green Notes 
due 2031</t>
  </si>
  <si>
    <t>3.375% | Annual</t>
  </si>
  <si>
    <t>98 bps</t>
  </si>
  <si>
    <t>XS3244184159</t>
  </si>
  <si>
    <t>Ba1 / - / BB</t>
  </si>
  <si>
    <t>Ba1 / - / -</t>
  </si>
  <si>
    <t>Ethniki Insurance acquisition expenses</t>
  </si>
  <si>
    <r>
      <t xml:space="preserve">Ethniki Insurance </t>
    </r>
    <r>
      <rPr>
        <vertAlign val="superscript"/>
        <sz val="12"/>
        <color rgb="FF002F30"/>
        <rFont val="Piraeus Open Sans"/>
        <family val="3"/>
      </rPr>
      <t>(1)</t>
    </r>
  </si>
  <si>
    <t>(2) Other includes net gain/(losses) from sale of property and equipment and intangible assets</t>
  </si>
  <si>
    <r>
      <t>Ethniki Insurance</t>
    </r>
    <r>
      <rPr>
        <vertAlign val="superscript"/>
        <sz val="12"/>
        <color rgb="FF002F30"/>
        <rFont val="Piraeus Open Sans"/>
        <family val="3"/>
      </rPr>
      <t>(1)</t>
    </r>
  </si>
  <si>
    <r>
      <t>Other (including subsidiaries)</t>
    </r>
    <r>
      <rPr>
        <vertAlign val="superscript"/>
        <sz val="12"/>
        <color rgb="FF002F30"/>
        <rFont val="Piraeus Open Sans"/>
        <family val="3"/>
      </rPr>
      <t>(2)</t>
    </r>
  </si>
  <si>
    <t>(1) Q4.25 Ethniki Insurance unallocated expenses refer to 1 month in 2025</t>
  </si>
  <si>
    <t>Large corporate</t>
  </si>
  <si>
    <t>* On 14 November 2025, the SBB was concluded, resulting to the purchase of 14,414,195 own shares, at an average purchase price of € 6.925423 per share and a total consideration of approximately € 100 million. At the completion of the Reverse Merger, on 19 December 2025, the 14,414,195 own shares of Piraeus Financial Holdings that the Bank had acquired in the context of the implementation of the SBB were cancelled</t>
  </si>
  <si>
    <t xml:space="preserve">       of which one off fees</t>
  </si>
  <si>
    <t>CET 1 ratio</t>
  </si>
  <si>
    <t>Total capital ratio</t>
  </si>
  <si>
    <t>Charitable contribution for schools construction &amp; other CSR actions</t>
  </si>
  <si>
    <t>Net fee income &amp; rental/non bank income/insurance revenues</t>
  </si>
  <si>
    <t>Underlying cost of risk</t>
  </si>
  <si>
    <t xml:space="preserve">For any clarifications please refer to the Alternative Performance Measures </t>
  </si>
  <si>
    <t>5. Net loans (including seasonal agri loan)</t>
  </si>
  <si>
    <t>Ethniki Insurance expenses</t>
  </si>
  <si>
    <t>Ethniki Insurance revenues</t>
  </si>
  <si>
    <t xml:space="preserve">Insurance </t>
  </si>
  <si>
    <t>Revenues from services</t>
  </si>
  <si>
    <t>REVENUES FROM SERVICES</t>
  </si>
  <si>
    <t>** Q4.25 Ethniki Insurance revenues and expenses refer to 1 month in 2025</t>
  </si>
  <si>
    <t>Sales / classification to HFS</t>
  </si>
  <si>
    <t>Agents</t>
  </si>
  <si>
    <t>Brokers</t>
  </si>
  <si>
    <t>Direct</t>
  </si>
  <si>
    <t># Ethniki Insurance customers (th)</t>
  </si>
  <si>
    <r>
      <t>PB shares minus treasury stock (end of period)</t>
    </r>
    <r>
      <rPr>
        <vertAlign val="superscript"/>
        <sz val="12"/>
        <color rgb="FF002F30"/>
        <rFont val="Piraeus Open Sans"/>
        <family val="3"/>
      </rPr>
      <t>(2)</t>
    </r>
  </si>
  <si>
    <r>
      <t>PB shares (end of period)</t>
    </r>
    <r>
      <rPr>
        <vertAlign val="superscript"/>
        <sz val="12"/>
        <color rgb="FF002F30"/>
        <rFont val="Piraeus Open Sans"/>
        <family val="3"/>
      </rPr>
      <t>(1)</t>
    </r>
  </si>
  <si>
    <r>
      <t>PB shares minus treasury stock (average of period)</t>
    </r>
    <r>
      <rPr>
        <vertAlign val="superscript"/>
        <sz val="12"/>
        <color rgb="FF002F30"/>
        <rFont val="Piraeus Open Sans"/>
        <family val="3"/>
      </rPr>
      <t>(3)</t>
    </r>
  </si>
  <si>
    <r>
      <t>Adjusted PB shares minus treasury stock (avg of period)</t>
    </r>
    <r>
      <rPr>
        <vertAlign val="superscript"/>
        <sz val="12"/>
        <color rgb="FF002F30"/>
        <rFont val="Piraeus Open Sans"/>
        <family val="3"/>
      </rPr>
      <t>(4)</t>
    </r>
  </si>
  <si>
    <t>Deposit cost net of NMDs</t>
  </si>
  <si>
    <t>DTC</t>
  </si>
  <si>
    <t>DTC/CET1</t>
  </si>
  <si>
    <t>Net fee income</t>
  </si>
  <si>
    <t>Net trading result</t>
  </si>
  <si>
    <r>
      <t xml:space="preserve">Tax </t>
    </r>
    <r>
      <rPr>
        <b/>
        <sz val="12"/>
        <color rgb="FF296ED4"/>
        <rFont val="Piraeus Open Sans"/>
        <family val="3"/>
      </rPr>
      <t>normalized</t>
    </r>
  </si>
  <si>
    <t xml:space="preserve">      of which NPEs</t>
  </si>
  <si>
    <r>
      <t xml:space="preserve">Net loans </t>
    </r>
    <r>
      <rPr>
        <sz val="12"/>
        <color rgb="FF002F30"/>
        <rFont val="Piraeus Open Sans"/>
        <family val="3"/>
      </rPr>
      <t>(excl. seasonal agri-loan)</t>
    </r>
  </si>
  <si>
    <t>Impairment on other assets</t>
  </si>
  <si>
    <t>Net trading result normalized</t>
  </si>
  <si>
    <t>Other operating result normalized</t>
  </si>
  <si>
    <t>Normalized operating profit</t>
  </si>
  <si>
    <t>Normalized Operating Profit</t>
  </si>
  <si>
    <t>Fee, trading and other operating result one offs</t>
  </si>
  <si>
    <t>Operating costs one offs</t>
  </si>
  <si>
    <t xml:space="preserve">Extraordinary loan impairments </t>
  </si>
  <si>
    <t>Extraordinary other impairments &amp; associates results</t>
  </si>
  <si>
    <t xml:space="preserve">Tax normalization adjustment </t>
  </si>
  <si>
    <t>14. Assets from discontinued operations &amp; held for sale</t>
  </si>
  <si>
    <t>Net fee and commission income</t>
  </si>
  <si>
    <t xml:space="preserve">of which one-off fees </t>
  </si>
  <si>
    <t>Administrative expenses</t>
  </si>
  <si>
    <t>o/w underlying and post model adjustments "PMA"</t>
  </si>
  <si>
    <t>Other impairment &amp; associates</t>
  </si>
  <si>
    <t>Normalized Income tax expense</t>
  </si>
  <si>
    <t>PL Snappi</t>
  </si>
  <si>
    <t>Net credit expansion</t>
  </si>
  <si>
    <t>Q1 2026</t>
  </si>
  <si>
    <t>Q1.26</t>
  </si>
  <si>
    <t>31.03.2026</t>
  </si>
  <si>
    <t>(3) Interest earning assets are total assets excluding equity and mutual fund financial assets, insurance assets, participations, goodwill and intangibles, fixed assets, deferred tax assets and discontinued</t>
  </si>
  <si>
    <t>Cost to income</t>
  </si>
  <si>
    <t>NFI over assets</t>
  </si>
  <si>
    <t>Loan impairment</t>
  </si>
  <si>
    <t>*POCI credit impaired refers to purchased or originated credit impaired (“POCI”) loans measured at amortised cost that continue to be credit impaired as of the end of the reporting period</t>
  </si>
  <si>
    <t>** Loan figures do not include loans and advances to customers fair valued through P&amp;L. LLRs do not include ECL allowance for impairment losses on loans and advances to customers mandatorily measured at FVTPL</t>
  </si>
  <si>
    <r>
      <t xml:space="preserve">Selected Balance Sheet items (€mn)
</t>
    </r>
    <r>
      <rPr>
        <sz val="12"/>
        <color rgb="FF002F30"/>
        <rFont val="Piraeus Open Sans"/>
        <family val="3"/>
      </rPr>
      <t>Group contribution</t>
    </r>
  </si>
  <si>
    <r>
      <t xml:space="preserve">Condensed Income Statement (€mn)
</t>
    </r>
    <r>
      <rPr>
        <sz val="12"/>
        <color rgb="FF002F30"/>
        <rFont val="Piraeus Open Sans"/>
        <family val="3"/>
      </rPr>
      <t>Group contribution</t>
    </r>
  </si>
  <si>
    <t>Piraeus Bank’s long-term ambition is to deliver total returns to shareholders either in the form of cash or share buybacks. Based on the Group's business plan approved in 19 February 2026, the payout aspiration is set at 57% distribution out of 2026 results:</t>
  </si>
  <si>
    <r>
      <t>Cost-to-income ratio</t>
    </r>
    <r>
      <rPr>
        <b/>
        <vertAlign val="superscript"/>
        <sz val="12"/>
        <color rgb="FF002F30"/>
        <rFont val="Piraeus Open Sans"/>
        <family val="3"/>
      </rPr>
      <t>1</t>
    </r>
  </si>
  <si>
    <t>(1) Cost-to-income ratio is defined as total operating costs over net revenues</t>
  </si>
  <si>
    <t>* EPS are calculated on period-end outstanding number of shares adjusted for treasury shares</t>
  </si>
  <si>
    <t>Countercyclical buffer*</t>
  </si>
  <si>
    <t>*The counter cyclical buffer for Greece will increase further 25bps effective October 2026</t>
  </si>
  <si>
    <t>H1 2026 DATA OF PIRAEUS BANK</t>
  </si>
  <si>
    <t>30.06.2026</t>
  </si>
  <si>
    <t>Q2.26</t>
  </si>
  <si>
    <t>Q2 2026</t>
  </si>
  <si>
    <t>P&amp;L SEGMENT VIEW H1.26</t>
  </si>
  <si>
    <t>H1 2026</t>
  </si>
  <si>
    <r>
      <t>S&amp;P Global</t>
    </r>
    <r>
      <rPr>
        <vertAlign val="superscript"/>
        <sz val="12"/>
        <color rgb="FF002F30"/>
        <rFont val="Piraeus Open Sans"/>
        <family val="3"/>
      </rPr>
      <t>(2)</t>
    </r>
  </si>
  <si>
    <r>
      <t>Fitch</t>
    </r>
    <r>
      <rPr>
        <vertAlign val="superscript"/>
        <sz val="12"/>
        <color rgb="FF002F30"/>
        <rFont val="Piraeus Open Sans"/>
        <family val="3"/>
      </rPr>
      <t>(3)</t>
    </r>
  </si>
  <si>
    <t>* Corporate lending excludes seasonal agri-loan of €919mn for Dec.24, €574mn for Mar.25, €801mn for Dec.25, €150mn for Mar.26 and €945mn for Jun.26</t>
  </si>
  <si>
    <t>(1) Q2.26 NPEs exclude €189mn paying mortgage exposures which have been classified as POCI credit impaired (€147mn in Q1.26, €110mn in Q4.25, €19mn in Q3.25 &amp; €6mn in Q2.25) after Bank-initiated reprofiling</t>
  </si>
  <si>
    <t>(1) Q2.26 NPEs include 189mn paying mortgage exposures which have been classified as Stage 3/POCI (€147mn in Q1.26, €110mn in Q4.25, €19mn in Q3.25 &amp; €6mn in Q2.25) after Bank-initiated reprofiling</t>
  </si>
  <si>
    <t>H1.26</t>
  </si>
  <si>
    <t>494mn cash dividend out of 2025 results (40cents per share) received AGM approval on 21 April 2026, to be paid on 07 August 2026</t>
  </si>
  <si>
    <t>H2 2025
(interim distribution)</t>
  </si>
  <si>
    <t>Portfolio perimeter 
as at June.26</t>
  </si>
  <si>
    <t>RWA release 
as at June.26</t>
  </si>
  <si>
    <t>Ermis IX</t>
  </si>
  <si>
    <t>642 (731 USD)</t>
  </si>
  <si>
    <t>1,071 (1,221 USD)</t>
  </si>
  <si>
    <t>1,191 USD</t>
  </si>
  <si>
    <t>H1.25</t>
  </si>
  <si>
    <t>FY.25</t>
  </si>
  <si>
    <t>KPIs</t>
  </si>
  <si>
    <t>(3) Assets under management include MFMC assets, Private Banking assets, Brokerage and Assets under Custody. As of 1/1/2026 custody equity holdings generating no income for the group are not included in Assets under Management</t>
  </si>
  <si>
    <t>(1) Non maturing deposit hedging cost corresponds to IRSs executed since late Q1.24; €8bn as at Jun.26</t>
  </si>
  <si>
    <t>(1) Q2.26 NPEs exclude €189mn paying mortgage exposures which have been classified as POCI credit impaired ( €147mn in Q1.26, €110mn in Q4.25, €19mn in Q3.25 &amp; €6mn in Q2.25) after Bank-initiated reprofiling</t>
  </si>
  <si>
    <t>Net combined ratio (%)</t>
  </si>
  <si>
    <t>Expense rate (%)</t>
  </si>
  <si>
    <t>ETHNIKI INSURANCE SELECTED FIGURES</t>
  </si>
  <si>
    <t>Adjusted pre-tax profit (€mn)</t>
  </si>
  <si>
    <t>Total performing loans</t>
  </si>
  <si>
    <t>(2) As of 20.07.2026 S&amp;P Global upgraded Piraeus Bank rating to BBB- (Stable)</t>
  </si>
  <si>
    <t>(3) As of 01.07.2026 Fitch revised Piraeus Bank's outlook to Positive</t>
  </si>
  <si>
    <t>736 USD</t>
  </si>
  <si>
    <t># snappi users (th)</t>
  </si>
  <si>
    <t>~210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</si>
</sst>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7">
    <numFmt numFmtId="43" formatCode="_-* #,##0.00_-;\-* #,##0.00_-;_-* &quot;-&quot;??_-;_-@_-"/>
    <numFmt numFmtId="164" formatCode="_-* #,##0\ &quot;€&quot;_-;\-* #,##0\ &quot;€&quot;_-;_-* &quot;-&quot;\ &quot;€&quot;_-;_-@_-"/>
    <numFmt numFmtId="165" formatCode="_-* #,##0.00\ &quot;€&quot;_-;\-* #,##0.00\ &quot;€&quot;_-;_-* &quot;-&quot;??\ &quot;€&quot;_-;_-@_-"/>
    <numFmt numFmtId="166" formatCode="_-* #,##0\ _€_-;\-* #,##0\ _€_-;_-* &quot;-&quot;\ _€_-;_-@_-"/>
    <numFmt numFmtId="167" formatCode="_-* #,##0.00\ _€_-;\-* #,##0.00\ _€_-;_-* &quot;-&quot;??\ _€_-;_-@_-"/>
    <numFmt numFmtId="168" formatCode="_-* #,##0.00\ _Δ_ρ_χ_-;\-* #,##0.00\ _Δ_ρ_χ_-;_-* &quot;-&quot;??\ _Δ_ρ_χ_-;_-@_-"/>
    <numFmt numFmtId="169" formatCode="0.0%"/>
    <numFmt numFmtId="170" formatCode="0.0"/>
    <numFmt numFmtId="171" formatCode="#,##0.000"/>
    <numFmt numFmtId="172" formatCode="_-* #,##0.00\ [$€]_-;\-* #,##0.00\ [$€]_-;_-* &quot;-&quot;??\ [$€]_-;_-@_-"/>
    <numFmt numFmtId="173" formatCode="d/m/yyyy;@"/>
    <numFmt numFmtId="174" formatCode="#,##0.0;&quot;( &quot;#,##0.0&quot;)&quot;"/>
    <numFmt numFmtId="175" formatCode="d\ mmm\ yyyy"/>
    <numFmt numFmtId="176" formatCode="#0.00000000"/>
    <numFmt numFmtId="177" formatCode="#,###.00"/>
    <numFmt numFmtId="178" formatCode="#,###.000"/>
    <numFmt numFmtId="179" formatCode="0.000"/>
    <numFmt numFmtId="180" formatCode="#.000"/>
    <numFmt numFmtId="181" formatCode="#"/>
    <numFmt numFmtId="182" formatCode="#.00"/>
    <numFmt numFmtId="183" formatCode="#,###.0"/>
    <numFmt numFmtId="184" formatCode="#,###.0000"/>
    <numFmt numFmtId="185" formatCode="#,###.00000"/>
    <numFmt numFmtId="186" formatCode="#,###.000000"/>
    <numFmt numFmtId="187" formatCode="#,###.0000000"/>
    <numFmt numFmtId="188" formatCode="#,###.00000000"/>
    <numFmt numFmtId="189" formatCode="#,##0\ ;\-#,##0\ "/>
    <numFmt numFmtId="190" formatCode="#,#00"/>
    <numFmt numFmtId="191" formatCode="00\ 00\ 00\ 00\ 00"/>
    <numFmt numFmtId="192" formatCode="#,##0\ &quot;Δρχ&quot;;[Red]\-#,##0\ &quot;Δρχ&quot;"/>
    <numFmt numFmtId="193" formatCode="#,##0.00\ &quot;Δρχ&quot;;[Red]\-#,##0.00\ &quot;Δρχ&quot;"/>
    <numFmt numFmtId="194" formatCode="_-* #,##0_-;\-* #,##0_-;_-* &quot;-&quot;??_-;_-@_-"/>
    <numFmt numFmtId="195" formatCode="#,##0.00;&quot;( &quot;#,##0.00&quot;)&quot;"/>
    <numFmt numFmtId="196" formatCode="#,##0.0000;&quot;( &quot;#,##0.0000&quot;)&quot;"/>
    <numFmt numFmtId="197" formatCode="_-* #,##0.00\ [$€-1]_-;\-* #,##0.00\ [$€-1]_-;_-* &quot;-&quot;??\ [$€-1]_-"/>
    <numFmt numFmtId="198" formatCode="#,##0;&quot;( &quot;#,##0&quot;)&quot;"/>
    <numFmt numFmtId="199" formatCode="#,##0.0"/>
    <numFmt numFmtId="200" formatCode="0.0000000"/>
    <numFmt numFmtId="201" formatCode="_-* #,##0.0000_-;\-* #,##0.0000_-;_-* &quot;-&quot;??_-;_-@_-"/>
    <numFmt numFmtId="202" formatCode="#,##0_ ;\-#,##0\ "/>
    <numFmt numFmtId="203" formatCode="[$-F800]dddd\,\ mmmm\ dd\,\ yyyy"/>
    <numFmt numFmtId="204" formatCode="[$-409]d\-mmm\-yy;@"/>
    <numFmt numFmtId="205" formatCode="#,##0.00000000"/>
    <numFmt numFmtId="206" formatCode="#,##0.00000"/>
    <numFmt numFmtId="207" formatCode="#,##0.000000"/>
    <numFmt numFmtId="208" formatCode="_-* #,##0.0_-;\-* #,##0.0_-;_-* &quot;-&quot;??_-;_-@_-"/>
    <numFmt numFmtId="209" formatCode="0.0000000000000000%"/>
  </numFmts>
  <fonts count="187" x14ac:knownFonts="1">
    <font>
      <sz val="10"/>
      <name val="Arial"/>
      <charset val="161"/>
    </font>
    <font>
      <sz val="11"/>
      <color theme="1"/>
      <name val="Calibri"/>
      <family val="2"/>
      <scheme val="minor"/>
    </font>
    <font>
      <sz val="11"/>
      <color theme="1"/>
      <name val="Calibri"/>
      <family val="2"/>
      <scheme val="minor"/>
    </font>
    <font>
      <sz val="10"/>
      <name val="Arial"/>
      <family val="2"/>
      <charset val="161"/>
    </font>
    <font>
      <sz val="10"/>
      <name val="Arial"/>
      <family val="2"/>
      <charset val="161"/>
    </font>
    <font>
      <b/>
      <sz val="18"/>
      <color indexed="56"/>
      <name val="Cambria"/>
      <family val="2"/>
      <charset val="161"/>
    </font>
    <font>
      <b/>
      <sz val="15"/>
      <color indexed="56"/>
      <name val="Calibri"/>
      <family val="2"/>
      <charset val="161"/>
    </font>
    <font>
      <b/>
      <sz val="13"/>
      <color indexed="56"/>
      <name val="Calibri"/>
      <family val="2"/>
      <charset val="161"/>
    </font>
    <font>
      <b/>
      <sz val="11"/>
      <color indexed="56"/>
      <name val="Calibri"/>
      <family val="2"/>
      <charset val="161"/>
    </font>
    <font>
      <sz val="11"/>
      <color indexed="17"/>
      <name val="Calibri"/>
      <family val="2"/>
      <charset val="161"/>
    </font>
    <font>
      <sz val="11"/>
      <color indexed="20"/>
      <name val="Calibri"/>
      <family val="2"/>
      <charset val="161"/>
    </font>
    <font>
      <sz val="11"/>
      <color indexed="60"/>
      <name val="Calibri"/>
      <family val="2"/>
      <charset val="161"/>
    </font>
    <font>
      <sz val="11"/>
      <color indexed="62"/>
      <name val="Calibri"/>
      <family val="2"/>
      <charset val="161"/>
    </font>
    <font>
      <b/>
      <sz val="11"/>
      <color indexed="63"/>
      <name val="Calibri"/>
      <family val="2"/>
      <charset val="161"/>
    </font>
    <font>
      <b/>
      <sz val="11"/>
      <color indexed="52"/>
      <name val="Calibri"/>
      <family val="2"/>
      <charset val="161"/>
    </font>
    <font>
      <sz val="11"/>
      <color indexed="52"/>
      <name val="Calibri"/>
      <family val="2"/>
      <charset val="161"/>
    </font>
    <font>
      <b/>
      <sz val="11"/>
      <color indexed="9"/>
      <name val="Calibri"/>
      <family val="2"/>
      <charset val="161"/>
    </font>
    <font>
      <sz val="11"/>
      <color indexed="10"/>
      <name val="Calibri"/>
      <family val="2"/>
      <charset val="161"/>
    </font>
    <font>
      <i/>
      <sz val="11"/>
      <color indexed="23"/>
      <name val="Calibri"/>
      <family val="2"/>
      <charset val="161"/>
    </font>
    <font>
      <b/>
      <sz val="11"/>
      <color indexed="8"/>
      <name val="Calibri"/>
      <family val="2"/>
      <charset val="161"/>
    </font>
    <font>
      <sz val="11"/>
      <color indexed="9"/>
      <name val="Calibri"/>
      <family val="2"/>
      <charset val="161"/>
    </font>
    <font>
      <sz val="11"/>
      <color indexed="8"/>
      <name val="Calibri"/>
      <family val="2"/>
      <charset val="161"/>
    </font>
    <font>
      <sz val="10"/>
      <name val="Arial Greek"/>
      <charset val="161"/>
    </font>
    <font>
      <sz val="10"/>
      <name val="Arial"/>
      <family val="2"/>
      <charset val="161"/>
    </font>
    <font>
      <sz val="8"/>
      <name val="Arial"/>
      <family val="2"/>
      <charset val="161"/>
    </font>
    <font>
      <sz val="10"/>
      <color indexed="8"/>
      <name val="Arial"/>
      <family val="2"/>
      <charset val="161"/>
    </font>
    <font>
      <sz val="10"/>
      <color indexed="47"/>
      <name val="Arial"/>
      <family val="2"/>
    </font>
    <font>
      <sz val="14"/>
      <name val="Arial"/>
      <family val="2"/>
    </font>
    <font>
      <b/>
      <sz val="14"/>
      <color indexed="9"/>
      <name val="Arial"/>
      <family val="2"/>
    </font>
    <font>
      <b/>
      <sz val="10"/>
      <color indexed="9"/>
      <name val="Arial"/>
      <family val="2"/>
    </font>
    <font>
      <sz val="10"/>
      <name val="Arial"/>
      <family val="2"/>
    </font>
    <font>
      <b/>
      <sz val="10"/>
      <name val="Arial"/>
      <family val="2"/>
    </font>
    <font>
      <u/>
      <sz val="12"/>
      <color indexed="18"/>
      <name val="Arial"/>
      <family val="2"/>
      <charset val="161"/>
    </font>
    <font>
      <sz val="10"/>
      <name val="Arial"/>
      <family val="2"/>
      <charset val="204"/>
    </font>
    <font>
      <sz val="1"/>
      <color indexed="8"/>
      <name val="Courier"/>
      <family val="1"/>
      <charset val="161"/>
    </font>
    <font>
      <sz val="10"/>
      <color indexed="8"/>
      <name val="Arial"/>
      <family val="2"/>
      <charset val="161"/>
    </font>
    <font>
      <b/>
      <sz val="1"/>
      <color indexed="8"/>
      <name val="Courier"/>
      <family val="1"/>
      <charset val="161"/>
    </font>
    <font>
      <sz val="10"/>
      <name val="MS Sans Serif"/>
      <family val="2"/>
      <charset val="161"/>
    </font>
    <font>
      <sz val="10"/>
      <color indexed="8"/>
      <name val="Arial"/>
      <family val="2"/>
      <charset val="204"/>
    </font>
    <font>
      <sz val="11"/>
      <color indexed="8"/>
      <name val="Calibri"/>
      <family val="2"/>
      <charset val="204"/>
    </font>
    <font>
      <sz val="10"/>
      <name val="Courier"/>
      <family val="1"/>
      <charset val="161"/>
    </font>
    <font>
      <sz val="10"/>
      <name val="MS Sans Serif"/>
      <family val="2"/>
      <charset val="161"/>
    </font>
    <font>
      <sz val="8"/>
      <color indexed="8"/>
      <name val="Trebuchet MS"/>
      <family val="2"/>
    </font>
    <font>
      <b/>
      <sz val="9"/>
      <color indexed="9"/>
      <name val="Trebuchet MS"/>
      <family val="2"/>
    </font>
    <font>
      <b/>
      <sz val="8"/>
      <color indexed="62"/>
      <name val="Trebuchet MS"/>
      <family val="2"/>
    </font>
    <font>
      <sz val="12"/>
      <color indexed="18"/>
      <name val="Calibri"/>
      <family val="2"/>
      <charset val="161"/>
      <scheme val="minor"/>
    </font>
    <font>
      <b/>
      <sz val="12"/>
      <color indexed="18"/>
      <name val="Calibri"/>
      <family val="2"/>
      <charset val="161"/>
      <scheme val="minor"/>
    </font>
    <font>
      <sz val="10"/>
      <name val="Calibri"/>
      <family val="2"/>
      <charset val="161"/>
      <scheme val="minor"/>
    </font>
    <font>
      <sz val="12"/>
      <color rgb="FF000080"/>
      <name val="Calibri"/>
      <family val="2"/>
      <charset val="161"/>
      <scheme val="minor"/>
    </font>
    <font>
      <b/>
      <sz val="12"/>
      <color rgb="FF000080"/>
      <name val="Calibri"/>
      <family val="2"/>
      <charset val="161"/>
      <scheme val="minor"/>
    </font>
    <font>
      <sz val="12"/>
      <name val="Calibri"/>
      <family val="2"/>
      <charset val="161"/>
      <scheme val="minor"/>
    </font>
    <font>
      <b/>
      <sz val="11"/>
      <color indexed="18"/>
      <name val="Calibri"/>
      <family val="2"/>
      <charset val="161"/>
      <scheme val="minor"/>
    </font>
    <font>
      <u/>
      <sz val="12"/>
      <color indexed="18"/>
      <name val="Calibri"/>
      <family val="2"/>
      <charset val="161"/>
      <scheme val="minor"/>
    </font>
    <font>
      <b/>
      <sz val="20"/>
      <color indexed="18"/>
      <name val="Calibri"/>
      <family val="2"/>
      <charset val="161"/>
      <scheme val="minor"/>
    </font>
    <font>
      <b/>
      <sz val="10"/>
      <name val="Calibri"/>
      <family val="2"/>
      <charset val="161"/>
      <scheme val="minor"/>
    </font>
    <font>
      <sz val="10"/>
      <color indexed="18"/>
      <name val="Calibri"/>
      <family val="2"/>
      <charset val="161"/>
      <scheme val="minor"/>
    </font>
    <font>
      <sz val="8"/>
      <name val="Calibri"/>
      <family val="2"/>
      <charset val="161"/>
      <scheme val="minor"/>
    </font>
    <font>
      <b/>
      <sz val="12"/>
      <color indexed="10"/>
      <name val="Calibri"/>
      <family val="2"/>
      <charset val="161"/>
      <scheme val="minor"/>
    </font>
    <font>
      <i/>
      <sz val="10"/>
      <color indexed="18"/>
      <name val="Calibri"/>
      <family val="2"/>
      <charset val="161"/>
      <scheme val="minor"/>
    </font>
    <font>
      <sz val="11"/>
      <color theme="1"/>
      <name val="Calibri"/>
      <family val="2"/>
      <charset val="161"/>
      <scheme val="minor"/>
    </font>
    <font>
      <sz val="10"/>
      <color rgb="FF000080"/>
      <name val="Calibri"/>
      <family val="2"/>
      <charset val="161"/>
      <scheme val="minor"/>
    </font>
    <font>
      <sz val="10"/>
      <color theme="5"/>
      <name val="Calibri"/>
      <family val="2"/>
      <charset val="161"/>
      <scheme val="minor"/>
    </font>
    <font>
      <b/>
      <sz val="12"/>
      <color rgb="FF0070C0"/>
      <name val="Calibri"/>
      <family val="2"/>
      <charset val="161"/>
      <scheme val="minor"/>
    </font>
    <font>
      <b/>
      <sz val="11"/>
      <color rgb="FF0070C0"/>
      <name val="Calibri"/>
      <family val="2"/>
      <charset val="161"/>
      <scheme val="minor"/>
    </font>
    <font>
      <sz val="11"/>
      <name val="Calibri"/>
      <family val="2"/>
      <charset val="161"/>
      <scheme val="minor"/>
    </font>
    <font>
      <b/>
      <sz val="11"/>
      <name val="Calibri"/>
      <family val="2"/>
      <charset val="161"/>
      <scheme val="minor"/>
    </font>
    <font>
      <sz val="10"/>
      <name val="Arial"/>
      <family val="2"/>
      <charset val="161"/>
    </font>
    <font>
      <i/>
      <sz val="10"/>
      <color rgb="FFFF0000"/>
      <name val="Calibri"/>
      <family val="2"/>
      <charset val="161"/>
      <scheme val="minor"/>
    </font>
    <font>
      <sz val="10"/>
      <color theme="1"/>
      <name val="Arial"/>
      <family val="2"/>
    </font>
    <font>
      <sz val="12"/>
      <name val="Arial"/>
      <family val="2"/>
    </font>
    <font>
      <sz val="10"/>
      <name val="Courier"/>
      <family val="3"/>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20"/>
      <name val="Calibri"/>
      <family val="2"/>
    </font>
    <font>
      <sz val="12"/>
      <name val="Times New Roman"/>
      <family val="1"/>
    </font>
    <font>
      <b/>
      <sz val="11"/>
      <color indexed="63"/>
      <name val="Calibri"/>
      <family val="2"/>
    </font>
    <font>
      <sz val="11"/>
      <color indexed="10"/>
      <name val="Calibri"/>
      <family val="2"/>
    </font>
    <font>
      <i/>
      <sz val="11"/>
      <color indexed="23"/>
      <name val="Calibri"/>
      <family val="2"/>
    </font>
    <font>
      <b/>
      <sz val="18"/>
      <color indexed="38"/>
      <name val="Cambria"/>
      <family val="2"/>
    </font>
    <font>
      <b/>
      <sz val="15"/>
      <color indexed="38"/>
      <name val="Calibri"/>
      <family val="2"/>
    </font>
    <font>
      <b/>
      <sz val="13"/>
      <color indexed="38"/>
      <name val="Calibri"/>
      <family val="2"/>
    </font>
    <font>
      <b/>
      <sz val="11"/>
      <color indexed="38"/>
      <name val="Calibri"/>
      <family val="2"/>
    </font>
    <font>
      <u/>
      <sz val="10"/>
      <color theme="10"/>
      <name val="Arial"/>
      <family val="2"/>
    </font>
    <font>
      <sz val="10"/>
      <color indexed="8"/>
      <name val="Arial"/>
      <family val="2"/>
    </font>
    <font>
      <sz val="10"/>
      <color indexed="60"/>
      <name val="Arial"/>
      <family val="2"/>
    </font>
    <font>
      <sz val="10"/>
      <color indexed="17"/>
      <name val="Arial"/>
      <family val="2"/>
    </font>
    <font>
      <b/>
      <sz val="10"/>
      <color indexed="52"/>
      <name val="Arial"/>
      <family val="2"/>
    </font>
    <font>
      <b/>
      <sz val="10"/>
      <color indexed="60"/>
      <name val="Arial"/>
      <family val="2"/>
    </font>
    <font>
      <sz val="10"/>
      <color indexed="52"/>
      <name val="Arial"/>
      <family val="2"/>
    </font>
    <font>
      <b/>
      <sz val="11"/>
      <color indexed="63"/>
      <name val="Arial"/>
      <family val="2"/>
    </font>
    <font>
      <sz val="10"/>
      <color indexed="54"/>
      <name val="Arial"/>
      <family val="2"/>
    </font>
    <font>
      <sz val="10"/>
      <color indexed="20"/>
      <name val="Arial"/>
      <family val="2"/>
    </font>
    <font>
      <sz val="10"/>
      <color indexed="19"/>
      <name val="Arial"/>
      <family val="2"/>
    </font>
    <font>
      <b/>
      <sz val="10"/>
      <color indexed="38"/>
      <name val="Arial"/>
      <family val="2"/>
    </font>
    <font>
      <sz val="10"/>
      <color indexed="10"/>
      <name val="Arial"/>
      <family val="2"/>
    </font>
    <font>
      <i/>
      <sz val="10"/>
      <color indexed="23"/>
      <name val="Arial"/>
      <family val="2"/>
    </font>
    <font>
      <b/>
      <sz val="15"/>
      <color indexed="63"/>
      <name val="Arial"/>
      <family val="2"/>
    </font>
    <font>
      <b/>
      <sz val="13"/>
      <color indexed="63"/>
      <name val="Arial"/>
      <family val="2"/>
    </font>
    <font>
      <b/>
      <sz val="18"/>
      <color indexed="63"/>
      <name val="Cambria"/>
      <family val="2"/>
    </font>
    <font>
      <b/>
      <sz val="10"/>
      <color indexed="8"/>
      <name val="Arial"/>
      <family val="2"/>
    </font>
    <font>
      <sz val="11"/>
      <color theme="1"/>
      <name val="Calibri"/>
      <family val="2"/>
    </font>
    <font>
      <b/>
      <sz val="12"/>
      <color theme="0"/>
      <name val="Calibri"/>
      <family val="2"/>
      <charset val="161"/>
      <scheme val="minor"/>
    </font>
    <font>
      <sz val="14"/>
      <name val="Calibri"/>
      <family val="2"/>
      <charset val="161"/>
      <scheme val="minor"/>
    </font>
    <font>
      <sz val="18"/>
      <color indexed="18"/>
      <name val="Calibri"/>
      <family val="2"/>
      <charset val="161"/>
      <scheme val="minor"/>
    </font>
    <font>
      <sz val="18"/>
      <name val="Calibri"/>
      <family val="2"/>
      <charset val="161"/>
      <scheme val="minor"/>
    </font>
    <font>
      <b/>
      <sz val="18"/>
      <color indexed="18"/>
      <name val="Calibri"/>
      <family val="2"/>
      <charset val="161"/>
      <scheme val="minor"/>
    </font>
    <font>
      <b/>
      <sz val="18"/>
      <name val="Calibri"/>
      <family val="2"/>
      <charset val="161"/>
      <scheme val="minor"/>
    </font>
    <font>
      <sz val="10"/>
      <color theme="1"/>
      <name val="Calibri"/>
      <family val="2"/>
      <charset val="161"/>
      <scheme val="minor"/>
    </font>
    <font>
      <sz val="8"/>
      <name val="Arial"/>
      <family val="2"/>
      <charset val="161"/>
    </font>
    <font>
      <b/>
      <sz val="16"/>
      <color rgb="FF002F30"/>
      <name val="Piraeus Open Sans"/>
      <family val="3"/>
    </font>
    <font>
      <sz val="10"/>
      <color rgb="FF002F30"/>
      <name val="Piraeus Open Sans"/>
      <family val="3"/>
    </font>
    <font>
      <sz val="12"/>
      <color rgb="FF002F30"/>
      <name val="Piraeus Open Sans"/>
      <family val="3"/>
    </font>
    <font>
      <sz val="12"/>
      <name val="Piraeus Open Sans"/>
      <family val="3"/>
    </font>
    <font>
      <u/>
      <sz val="12"/>
      <color rgb="FF002F30"/>
      <name val="Piraeus Open Sans"/>
      <family val="3"/>
    </font>
    <font>
      <sz val="10"/>
      <color indexed="23"/>
      <name val="Piraeus Open Sans"/>
      <family val="3"/>
    </font>
    <font>
      <u/>
      <sz val="12"/>
      <color indexed="18"/>
      <name val="Piraeus Open Sans"/>
      <family val="3"/>
    </font>
    <font>
      <sz val="10"/>
      <name val="Piraeus Open Sans"/>
      <family val="3"/>
    </font>
    <font>
      <sz val="12"/>
      <color indexed="18"/>
      <name val="Piraeus Open Sans"/>
      <family val="3"/>
    </font>
    <font>
      <b/>
      <sz val="20"/>
      <color indexed="18"/>
      <name val="Piraeus Open Sans"/>
      <family val="3"/>
    </font>
    <font>
      <sz val="8"/>
      <name val="Piraeus Open Sans"/>
      <family val="3"/>
    </font>
    <font>
      <b/>
      <sz val="12"/>
      <color rgb="FF0070C0"/>
      <name val="Piraeus Open Sans"/>
      <family val="3"/>
    </font>
    <font>
      <b/>
      <sz val="12"/>
      <color rgb="FF002F30"/>
      <name val="Piraeus Open Sans"/>
      <family val="3"/>
    </font>
    <font>
      <b/>
      <sz val="12"/>
      <color indexed="18"/>
      <name val="Piraeus Open Sans"/>
      <family val="3"/>
    </font>
    <font>
      <vertAlign val="superscript"/>
      <sz val="12"/>
      <color rgb="FF002F30"/>
      <name val="Piraeus Open Sans"/>
      <family val="3"/>
    </font>
    <font>
      <sz val="10"/>
      <color rgb="FF000080"/>
      <name val="Piraeus Open Sans"/>
      <family val="3"/>
    </font>
    <font>
      <b/>
      <sz val="20"/>
      <color rgb="FF002F30"/>
      <name val="Piraeus Open Sans"/>
      <family val="3"/>
    </font>
    <font>
      <sz val="9"/>
      <color theme="3"/>
      <name val="Piraeus Open Sans"/>
      <family val="3"/>
    </font>
    <font>
      <sz val="8"/>
      <color theme="0" tint="-0.34998626667073579"/>
      <name val="Piraeus Open Sans"/>
      <family val="3"/>
    </font>
    <font>
      <b/>
      <u/>
      <sz val="12"/>
      <color rgb="FF002F30"/>
      <name val="Piraeus Open Sans"/>
      <family val="3"/>
    </font>
    <font>
      <i/>
      <sz val="12"/>
      <color rgb="FF002F30"/>
      <name val="Piraeus Open Sans"/>
      <family val="3"/>
    </font>
    <font>
      <b/>
      <sz val="12"/>
      <color rgb="FFA8A30A"/>
      <name val="Piraeus Open Sans"/>
      <family val="3"/>
    </font>
    <font>
      <b/>
      <sz val="12"/>
      <color rgb="FFF55240"/>
      <name val="Piraeus Open Sans"/>
      <family val="3"/>
    </font>
    <font>
      <b/>
      <sz val="12"/>
      <color rgb="FF3885FF"/>
      <name val="Piraeus Open Sans"/>
      <family val="3"/>
    </font>
    <font>
      <b/>
      <sz val="12"/>
      <color rgb="FF296ED4"/>
      <name val="Piraeus Open Sans"/>
      <family val="3"/>
    </font>
    <font>
      <b/>
      <vertAlign val="superscript"/>
      <sz val="12"/>
      <color rgb="FF002F30"/>
      <name val="Piraeus Open Sans"/>
      <family val="3"/>
    </font>
    <font>
      <b/>
      <sz val="20"/>
      <color rgb="FFC9C2AE"/>
      <name val="Piraeus Open Sans"/>
      <family val="3"/>
    </font>
    <font>
      <b/>
      <sz val="14"/>
      <color rgb="FF002F30"/>
      <name val="Piraeus Open Sans"/>
      <family val="3"/>
    </font>
    <font>
      <b/>
      <sz val="12"/>
      <color rgb="FFFFF5BF"/>
      <name val="Piraeus Open Sans"/>
      <family val="3"/>
    </font>
    <font>
      <b/>
      <sz val="13"/>
      <color rgb="FF002F30"/>
      <name val="Piraeus Open Sans"/>
      <family val="3"/>
    </font>
    <font>
      <i/>
      <sz val="12"/>
      <color theme="0" tint="-0.499984740745262"/>
      <name val="Piraeus Open Sans"/>
      <family val="3"/>
    </font>
    <font>
      <b/>
      <sz val="12"/>
      <color theme="0" tint="-0.499984740745262"/>
      <name val="Piraeus Open Sans"/>
      <family val="3"/>
    </font>
    <font>
      <sz val="10"/>
      <color rgb="FFC9C2AE"/>
      <name val="Piraeus Open Sans"/>
      <family val="3"/>
    </font>
    <font>
      <b/>
      <i/>
      <sz val="12"/>
      <color rgb="FF002F30"/>
      <name val="Piraeus Open Sans"/>
      <family val="3"/>
    </font>
    <font>
      <sz val="12"/>
      <color theme="0" tint="-0.499984740745262"/>
      <name val="Piraeus Open Sans"/>
      <family val="3"/>
    </font>
    <font>
      <b/>
      <i/>
      <sz val="14"/>
      <color rgb="FF002F30"/>
      <name val="Piraeus Open Sans"/>
      <family val="3"/>
    </font>
    <font>
      <b/>
      <vertAlign val="superscript"/>
      <sz val="14"/>
      <color rgb="FF002F30"/>
      <name val="Piraeus Open Sans"/>
      <family val="3"/>
    </font>
    <font>
      <sz val="8"/>
      <color rgb="FF002F30"/>
      <name val="Piraeus Open Sans"/>
      <family val="3"/>
    </font>
    <font>
      <sz val="10"/>
      <color indexed="18"/>
      <name val="Piraeus Open Sans"/>
      <family val="3"/>
    </font>
    <font>
      <sz val="9"/>
      <color rgb="FF000080"/>
      <name val="Piraeus Open Sans"/>
      <family val="3"/>
    </font>
    <font>
      <sz val="9"/>
      <color rgb="FF002F30"/>
      <name val="Piraeus Open Sans"/>
      <family val="3"/>
    </font>
    <font>
      <sz val="8"/>
      <color rgb="FF002F30"/>
      <name val="Calibri"/>
      <family val="2"/>
      <charset val="161"/>
      <scheme val="minor"/>
    </font>
    <font>
      <sz val="11"/>
      <color rgb="FF002F30"/>
      <name val="Piraeus Open Sans"/>
      <family val="3"/>
    </font>
    <font>
      <sz val="11"/>
      <name val="Piraeus Open Sans"/>
      <family val="3"/>
    </font>
    <font>
      <u/>
      <sz val="11"/>
      <color indexed="18"/>
      <name val="Piraeus Open Sans"/>
      <family val="3"/>
    </font>
    <font>
      <b/>
      <sz val="11"/>
      <color indexed="18"/>
      <name val="Piraeus Open Sans"/>
      <family val="3"/>
    </font>
    <font>
      <b/>
      <sz val="11"/>
      <color rgb="FF002F30"/>
      <name val="Piraeus Open Sans"/>
      <family val="3"/>
    </font>
    <font>
      <sz val="11"/>
      <color rgb="FF002F30"/>
      <name val="Calibri"/>
      <family val="2"/>
      <charset val="161"/>
      <scheme val="minor"/>
    </font>
    <font>
      <b/>
      <sz val="12"/>
      <color rgb="FFFF0000"/>
      <name val="Piraeus Open Sans"/>
      <family val="3"/>
    </font>
    <font>
      <sz val="14"/>
      <color rgb="FF002F30"/>
      <name val="Piraeus Open Sans"/>
      <family val="3"/>
    </font>
    <font>
      <b/>
      <u/>
      <vertAlign val="superscript"/>
      <sz val="12"/>
      <color rgb="FF002F30"/>
      <name val="Piraeus Open Sans"/>
      <family val="3"/>
    </font>
    <font>
      <sz val="10"/>
      <color rgb="FFFF0000"/>
      <name val="Piraeus Open Sans"/>
      <family val="3"/>
    </font>
    <font>
      <b/>
      <sz val="11"/>
      <color rgb="FF000000"/>
      <name val="Calibri"/>
      <family val="2"/>
      <charset val="161"/>
    </font>
    <font>
      <sz val="10"/>
      <color rgb="FF002F30"/>
      <name val="Piraeus Open Sans"/>
      <family val="3"/>
    </font>
    <font>
      <b/>
      <sz val="12"/>
      <color rgb="FFFF0000"/>
      <name val="Calibri"/>
      <family val="2"/>
      <charset val="161"/>
      <scheme val="minor"/>
    </font>
    <font>
      <b/>
      <sz val="10"/>
      <color rgb="FF002F30"/>
      <name val="Piraeus Open Sans"/>
      <family val="3"/>
    </font>
    <font>
      <b/>
      <sz val="12"/>
      <color rgb="FF002F30"/>
      <name val="Piraeus Open Sans"/>
      <family val="3"/>
    </font>
    <font>
      <sz val="11"/>
      <color rgb="FF002F30"/>
      <name val="Piraeus Open Sans"/>
      <family val="3"/>
    </font>
    <font>
      <b/>
      <sz val="14"/>
      <color rgb="FF002F30"/>
      <name val="Piraeus Open Sans"/>
      <family val="3"/>
    </font>
    <font>
      <b/>
      <sz val="12"/>
      <color theme="1" tint="4.9989318521683403E-2"/>
      <name val="Piraeus Open Sans"/>
      <family val="3"/>
    </font>
    <font>
      <b/>
      <sz val="12"/>
      <name val="Piraeus Open Sans"/>
      <family val="3"/>
    </font>
    <font>
      <i/>
      <sz val="12"/>
      <name val="Piraeus Open Sans"/>
      <family val="3"/>
    </font>
    <font>
      <sz val="12"/>
      <color rgb="FF002F30"/>
      <name val="Piraeus Open Sans"/>
      <family val="3"/>
    </font>
    <font>
      <b/>
      <sz val="20"/>
      <color theme="0"/>
      <name val="Piraeus Open Sans"/>
      <family val="3"/>
    </font>
    <font>
      <sz val="10"/>
      <color theme="1"/>
      <name val="Piraeus Open Sans"/>
      <family val="3"/>
    </font>
    <font>
      <sz val="18"/>
      <name val="Arial"/>
      <family val="2"/>
      <charset val="161"/>
    </font>
    <font>
      <sz val="11"/>
      <color rgb="FF404040"/>
      <name val="Piraeus Open Sans"/>
      <family val="3"/>
    </font>
    <font>
      <b/>
      <sz val="12"/>
      <color theme="1"/>
      <name val="Piraeus Open Sans"/>
      <family val="3"/>
    </font>
    <font>
      <b/>
      <sz val="12"/>
      <name val="Calibri"/>
      <family val="2"/>
      <charset val="161"/>
      <scheme val="minor"/>
    </font>
    <font>
      <b/>
      <sz val="12"/>
      <color rgb="FF00B050"/>
      <name val="Calibri"/>
      <family val="2"/>
      <charset val="161"/>
      <scheme val="minor"/>
    </font>
    <font>
      <b/>
      <sz val="12"/>
      <color rgb="FF002F30"/>
      <name val="Piraeus Open Sans"/>
      <family val="3"/>
    </font>
    <font>
      <sz val="12"/>
      <color rgb="FF002F30"/>
      <name val="Piraeus Open Sans"/>
      <family val="3"/>
    </font>
    <font>
      <b/>
      <sz val="15"/>
      <name val="Calibri"/>
      <family val="2"/>
      <charset val="161"/>
      <scheme val="minor"/>
    </font>
    <font>
      <b/>
      <sz val="15"/>
      <color rgb="FFFF0000"/>
      <name val="Calibri"/>
      <family val="2"/>
      <charset val="161"/>
      <scheme val="minor"/>
    </font>
  </fonts>
  <fills count="6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22"/>
        <bgColor indexed="64"/>
      </patternFill>
    </fill>
    <fill>
      <patternFill patternType="solid">
        <fgColor indexed="48"/>
        <bgColor indexed="64"/>
      </patternFill>
    </fill>
    <fill>
      <patternFill patternType="solid">
        <fgColor indexed="29"/>
        <bgColor indexed="64"/>
      </patternFill>
    </fill>
    <fill>
      <patternFill patternType="solid">
        <fgColor indexed="32"/>
        <bgColor indexed="64"/>
      </patternFill>
    </fill>
    <fill>
      <patternFill patternType="solid">
        <fgColor indexed="9"/>
        <bgColor indexed="64"/>
      </patternFill>
    </fill>
    <fill>
      <patternFill patternType="solid">
        <fgColor indexed="26"/>
        <bgColor indexed="64"/>
      </patternFill>
    </fill>
    <fill>
      <patternFill patternType="solid">
        <fgColor indexed="44"/>
        <bgColor indexed="64"/>
      </patternFill>
    </fill>
    <fill>
      <patternFill patternType="lightGray">
        <bgColor indexed="44"/>
      </patternFill>
    </fill>
    <fill>
      <patternFill patternType="solid">
        <fgColor theme="0"/>
        <bgColor indexed="64"/>
      </patternFill>
    </fill>
    <fill>
      <patternFill patternType="solid">
        <fgColor rgb="FFFFFFCC"/>
        <bgColor indexed="64"/>
      </patternFill>
    </fill>
    <fill>
      <patternFill patternType="solid">
        <fgColor theme="0"/>
        <bgColor rgb="FF000000"/>
      </patternFill>
    </fill>
    <fill>
      <patternFill patternType="mediumGray">
        <fgColor indexed="9"/>
        <bgColor theme="0"/>
      </patternFill>
    </fill>
    <fill>
      <patternFill patternType="solid">
        <fgColor indexed="34"/>
      </patternFill>
    </fill>
    <fill>
      <patternFill patternType="solid">
        <fgColor indexed="35"/>
      </patternFill>
    </fill>
    <fill>
      <patternFill patternType="solid">
        <fgColor indexed="25"/>
      </patternFill>
    </fill>
    <fill>
      <patternFill patternType="solid">
        <fgColor indexed="54"/>
      </patternFill>
    </fill>
    <fill>
      <patternFill patternType="solid">
        <fgColor indexed="32"/>
      </patternFill>
    </fill>
    <fill>
      <patternFill patternType="solid">
        <fgColor indexed="24"/>
      </patternFill>
    </fill>
    <fill>
      <patternFill patternType="solid">
        <fgColor indexed="56"/>
      </patternFill>
    </fill>
    <fill>
      <patternFill patternType="solid">
        <fgColor theme="8" tint="0.59999389629810485"/>
        <bgColor indexed="64"/>
      </patternFill>
    </fill>
    <fill>
      <patternFill patternType="solid">
        <fgColor rgb="FF002F30"/>
        <bgColor indexed="64"/>
      </patternFill>
    </fill>
    <fill>
      <patternFill patternType="solid">
        <fgColor rgb="FFC9C2AE"/>
        <bgColor indexed="64"/>
      </patternFill>
    </fill>
    <fill>
      <patternFill patternType="solid">
        <fgColor rgb="FFFFF5BF"/>
        <bgColor indexed="64"/>
      </patternFill>
    </fill>
    <fill>
      <patternFill patternType="solid">
        <fgColor rgb="FF809797"/>
        <bgColor indexed="64"/>
      </patternFill>
    </fill>
    <fill>
      <patternFill patternType="solid">
        <fgColor rgb="FFCAC3AF"/>
        <bgColor indexed="64"/>
      </patternFill>
    </fill>
    <fill>
      <patternFill patternType="solid">
        <fgColor rgb="FFE4E1D7"/>
        <bgColor indexed="64"/>
      </patternFill>
    </fill>
    <fill>
      <patternFill patternType="mediumGray">
        <fgColor indexed="9"/>
        <bgColor rgb="FF809797"/>
      </patternFill>
    </fill>
    <fill>
      <patternFill patternType="mediumGray">
        <fgColor indexed="9"/>
        <bgColor rgb="FFCAC3AF"/>
      </patternFill>
    </fill>
    <fill>
      <patternFill patternType="solid">
        <fgColor rgb="FFFFF5BF"/>
        <bgColor rgb="FF000000"/>
      </patternFill>
    </fill>
    <fill>
      <patternFill patternType="solid">
        <fgColor rgb="FFE4E1D7"/>
        <bgColor rgb="FF000000"/>
      </patternFill>
    </fill>
    <fill>
      <patternFill patternType="mediumGray">
        <fgColor indexed="9"/>
        <bgColor rgb="FFFFF5BF"/>
      </patternFill>
    </fill>
    <fill>
      <patternFill patternType="solid">
        <fgColor rgb="FFFFFFFF"/>
        <bgColor rgb="FF000000"/>
      </patternFill>
    </fill>
    <fill>
      <patternFill patternType="solid">
        <fgColor rgb="FFF2F0EB"/>
        <bgColor indexed="64"/>
      </patternFill>
    </fill>
    <fill>
      <patternFill patternType="solid">
        <fgColor rgb="FFFFFF00"/>
        <bgColor indexed="64"/>
      </patternFill>
    </fill>
  </fills>
  <borders count="17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22"/>
      </left>
      <right style="hair">
        <color indexed="22"/>
      </right>
      <top style="hair">
        <color indexed="22"/>
      </top>
      <bottom style="hair">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hair">
        <color indexed="1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indexed="49"/>
      </bottom>
      <diagonal/>
    </border>
    <border>
      <left/>
      <right/>
      <top/>
      <bottom style="thick">
        <color indexed="35"/>
      </bottom>
      <diagonal/>
    </border>
    <border>
      <left/>
      <right/>
      <top/>
      <bottom style="medium">
        <color indexed="35"/>
      </bottom>
      <diagonal/>
    </border>
    <border>
      <left style="double">
        <color indexed="38"/>
      </left>
      <right style="double">
        <color indexed="38"/>
      </right>
      <top style="double">
        <color indexed="38"/>
      </top>
      <bottom style="double">
        <color indexed="38"/>
      </bottom>
      <diagonal/>
    </border>
    <border>
      <left style="thin">
        <color indexed="38"/>
      </left>
      <right style="thin">
        <color indexed="38"/>
      </right>
      <top style="thin">
        <color indexed="38"/>
      </top>
      <bottom style="thin">
        <color indexed="38"/>
      </bottom>
      <diagonal/>
    </border>
    <border>
      <left/>
      <right/>
      <top/>
      <bottom style="thick">
        <color indexed="24"/>
      </bottom>
      <diagonal/>
    </border>
    <border>
      <left/>
      <right/>
      <top/>
      <bottom style="medium">
        <color indexed="2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38"/>
      </left>
      <right style="thin">
        <color indexed="38"/>
      </right>
      <top style="thin">
        <color indexed="38"/>
      </top>
      <bottom style="thin">
        <color indexed="38"/>
      </bottom>
      <diagonal/>
    </border>
    <border>
      <left/>
      <right/>
      <top style="thin">
        <color indexed="49"/>
      </top>
      <bottom style="double">
        <color indexed="49"/>
      </bottom>
      <diagonal/>
    </border>
    <border>
      <left style="thin">
        <color indexed="64"/>
      </left>
      <right style="thin">
        <color indexed="64"/>
      </right>
      <top style="hair">
        <color indexed="64"/>
      </top>
      <bottom style="hair">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top style="hair">
        <color indexed="64"/>
      </top>
      <bottom style="hair">
        <color indexed="64"/>
      </bottom>
      <diagonal/>
    </border>
    <border>
      <left/>
      <right style="thin">
        <color indexed="64"/>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rgb="FF002F30"/>
      </top>
      <bottom style="thin">
        <color rgb="FF002F30"/>
      </bottom>
      <diagonal/>
    </border>
    <border>
      <left style="thin">
        <color rgb="FF002F30"/>
      </left>
      <right/>
      <top style="thin">
        <color rgb="FF002F30"/>
      </top>
      <bottom/>
      <diagonal/>
    </border>
    <border>
      <left/>
      <right/>
      <top style="thin">
        <color rgb="FF002F30"/>
      </top>
      <bottom/>
      <diagonal/>
    </border>
    <border>
      <left style="thin">
        <color rgb="FF002F30"/>
      </left>
      <right/>
      <top/>
      <bottom/>
      <diagonal/>
    </border>
    <border>
      <left style="thin">
        <color rgb="FF002F30"/>
      </left>
      <right/>
      <top style="thin">
        <color rgb="FF002F30"/>
      </top>
      <bottom style="thin">
        <color rgb="FF002F30"/>
      </bottom>
      <diagonal/>
    </border>
    <border>
      <left style="thin">
        <color rgb="FF002F30"/>
      </left>
      <right/>
      <top/>
      <bottom style="thin">
        <color rgb="FF002F30"/>
      </bottom>
      <diagonal/>
    </border>
    <border>
      <left/>
      <right/>
      <top/>
      <bottom style="thin">
        <color rgb="FF002F30"/>
      </bottom>
      <diagonal/>
    </border>
    <border>
      <left/>
      <right style="dashed">
        <color rgb="FF002F30"/>
      </right>
      <top style="thin">
        <color rgb="FF002F30"/>
      </top>
      <bottom style="thin">
        <color rgb="FF002F30"/>
      </bottom>
      <diagonal/>
    </border>
    <border>
      <left/>
      <right style="thin">
        <color rgb="FF002F30"/>
      </right>
      <top style="thin">
        <color rgb="FF002F30"/>
      </top>
      <bottom/>
      <diagonal/>
    </border>
    <border>
      <left/>
      <right style="thin">
        <color rgb="FF002F30"/>
      </right>
      <top/>
      <bottom/>
      <diagonal/>
    </border>
    <border>
      <left/>
      <right style="thin">
        <color rgb="FF002F30"/>
      </right>
      <top style="thin">
        <color rgb="FF002F30"/>
      </top>
      <bottom style="thin">
        <color rgb="FF002F30"/>
      </bottom>
      <diagonal/>
    </border>
    <border>
      <left/>
      <right style="dashed">
        <color rgb="FF002F30"/>
      </right>
      <top style="thin">
        <color rgb="FF002F30"/>
      </top>
      <bottom/>
      <diagonal/>
    </border>
    <border>
      <left/>
      <right style="dashed">
        <color rgb="FF002F30"/>
      </right>
      <top/>
      <bottom/>
      <diagonal/>
    </border>
    <border>
      <left/>
      <right style="thin">
        <color rgb="FF002F30"/>
      </right>
      <top/>
      <bottom style="thin">
        <color rgb="FF002F30"/>
      </bottom>
      <diagonal/>
    </border>
    <border>
      <left/>
      <right style="dashed">
        <color rgb="FF002F30"/>
      </right>
      <top/>
      <bottom style="thin">
        <color rgb="FF002F30"/>
      </bottom>
      <diagonal/>
    </border>
    <border>
      <left style="thin">
        <color rgb="FF002F30"/>
      </left>
      <right/>
      <top style="medium">
        <color rgb="FF007174"/>
      </top>
      <bottom style="medium">
        <color rgb="FF007174"/>
      </bottom>
      <diagonal/>
    </border>
    <border>
      <left/>
      <right/>
      <top style="medium">
        <color rgb="FF007174"/>
      </top>
      <bottom style="medium">
        <color rgb="FF007174"/>
      </bottom>
      <diagonal/>
    </border>
    <border>
      <left/>
      <right style="dashed">
        <color rgb="FF002F30"/>
      </right>
      <top style="medium">
        <color rgb="FF007174"/>
      </top>
      <bottom style="medium">
        <color rgb="FF007174"/>
      </bottom>
      <diagonal/>
    </border>
    <border>
      <left style="thin">
        <color rgb="FF002F30"/>
      </left>
      <right/>
      <top style="medium">
        <color rgb="FF007174"/>
      </top>
      <bottom/>
      <diagonal/>
    </border>
    <border>
      <left/>
      <right/>
      <top style="medium">
        <color rgb="FF007174"/>
      </top>
      <bottom/>
      <diagonal/>
    </border>
    <border>
      <left/>
      <right style="dashed">
        <color rgb="FF002F30"/>
      </right>
      <top style="medium">
        <color rgb="FF007174"/>
      </top>
      <bottom/>
      <diagonal/>
    </border>
    <border>
      <left/>
      <right/>
      <top style="hair">
        <color indexed="18"/>
      </top>
      <bottom style="hair">
        <color indexed="18"/>
      </bottom>
      <diagonal/>
    </border>
    <border>
      <left/>
      <right/>
      <top style="hair">
        <color indexed="18"/>
      </top>
      <bottom/>
      <diagonal/>
    </border>
    <border>
      <left style="thin">
        <color rgb="FF002F30"/>
      </left>
      <right/>
      <top/>
      <bottom style="thin">
        <color theme="0" tint="-0.14996795556505021"/>
      </bottom>
      <diagonal/>
    </border>
    <border>
      <left/>
      <right style="thin">
        <color rgb="FF002F30"/>
      </right>
      <top/>
      <bottom style="thin">
        <color theme="0" tint="-0.14996795556505021"/>
      </bottom>
      <diagonal/>
    </border>
    <border>
      <left style="thin">
        <color rgb="FF002F30"/>
      </left>
      <right/>
      <top style="thin">
        <color theme="0" tint="-0.14996795556505021"/>
      </top>
      <bottom style="thin">
        <color theme="0" tint="-0.14996795556505021"/>
      </bottom>
      <diagonal/>
    </border>
    <border>
      <left/>
      <right style="thin">
        <color rgb="FF002F30"/>
      </right>
      <top style="thin">
        <color theme="0" tint="-0.14996795556505021"/>
      </top>
      <bottom style="thin">
        <color theme="0" tint="-0.14996795556505021"/>
      </bottom>
      <diagonal/>
    </border>
    <border>
      <left style="thin">
        <color rgb="FF002F30"/>
      </left>
      <right/>
      <top style="thin">
        <color theme="0" tint="-0.14996795556505021"/>
      </top>
      <bottom/>
      <diagonal/>
    </border>
    <border>
      <left style="thin">
        <color rgb="FF002F30"/>
      </left>
      <right/>
      <top style="dashed">
        <color rgb="FF002F30"/>
      </top>
      <bottom/>
      <diagonal/>
    </border>
    <border>
      <left/>
      <right/>
      <top style="dashed">
        <color rgb="FF002F30"/>
      </top>
      <bottom/>
      <diagonal/>
    </border>
    <border>
      <left/>
      <right style="thin">
        <color rgb="FF002F30"/>
      </right>
      <top style="dashed">
        <color rgb="FF002F30"/>
      </top>
      <bottom/>
      <diagonal/>
    </border>
    <border>
      <left style="thin">
        <color rgb="FF002F30"/>
      </left>
      <right/>
      <top/>
      <bottom style="dashed">
        <color rgb="FF002F30"/>
      </bottom>
      <diagonal/>
    </border>
    <border>
      <left/>
      <right/>
      <top/>
      <bottom style="dashed">
        <color rgb="FF002F30"/>
      </bottom>
      <diagonal/>
    </border>
    <border>
      <left style="thin">
        <color rgb="FF002F30"/>
      </left>
      <right style="thin">
        <color rgb="FF002F30"/>
      </right>
      <top style="thin">
        <color rgb="FF002F30"/>
      </top>
      <bottom/>
      <diagonal/>
    </border>
    <border>
      <left style="thin">
        <color rgb="FF002F30"/>
      </left>
      <right style="thin">
        <color rgb="FF002F30"/>
      </right>
      <top/>
      <bottom/>
      <diagonal/>
    </border>
    <border>
      <left style="thin">
        <color rgb="FF002F30"/>
      </left>
      <right style="thin">
        <color rgb="FF002F30"/>
      </right>
      <top/>
      <bottom style="thin">
        <color rgb="FF002F30"/>
      </bottom>
      <diagonal/>
    </border>
    <border>
      <left style="thin">
        <color rgb="FF002F30"/>
      </left>
      <right/>
      <top style="hair">
        <color indexed="18"/>
      </top>
      <bottom style="hair">
        <color indexed="18"/>
      </bottom>
      <diagonal/>
    </border>
    <border>
      <left/>
      <right style="thin">
        <color rgb="FF002F30"/>
      </right>
      <top style="hair">
        <color indexed="18"/>
      </top>
      <bottom style="hair">
        <color indexed="18"/>
      </bottom>
      <diagonal/>
    </border>
    <border>
      <left/>
      <right style="thin">
        <color rgb="FF002F30"/>
      </right>
      <top style="hair">
        <color indexed="18"/>
      </top>
      <bottom/>
      <diagonal/>
    </border>
    <border>
      <left style="thin">
        <color rgb="FF002F30"/>
      </left>
      <right/>
      <top/>
      <bottom style="hair">
        <color indexed="18"/>
      </bottom>
      <diagonal/>
    </border>
    <border>
      <left/>
      <right style="thin">
        <color rgb="FF002F30"/>
      </right>
      <top/>
      <bottom style="hair">
        <color indexed="18"/>
      </bottom>
      <diagonal/>
    </border>
    <border>
      <left style="thin">
        <color rgb="FF002F30"/>
      </left>
      <right/>
      <top style="hair">
        <color indexed="18"/>
      </top>
      <bottom style="thin">
        <color rgb="FF002F30"/>
      </bottom>
      <diagonal/>
    </border>
    <border>
      <left/>
      <right/>
      <top style="hair">
        <color indexed="18"/>
      </top>
      <bottom style="thin">
        <color rgb="FF002F30"/>
      </bottom>
      <diagonal/>
    </border>
    <border>
      <left/>
      <right style="thin">
        <color rgb="FF002F30"/>
      </right>
      <top style="hair">
        <color indexed="18"/>
      </top>
      <bottom style="thin">
        <color rgb="FF002F30"/>
      </bottom>
      <diagonal/>
    </border>
    <border>
      <left/>
      <right style="dashed">
        <color rgb="FF002F30"/>
      </right>
      <top style="hair">
        <color indexed="18"/>
      </top>
      <bottom style="hair">
        <color indexed="18"/>
      </bottom>
      <diagonal/>
    </border>
    <border>
      <left/>
      <right style="dashed">
        <color rgb="FF002F30"/>
      </right>
      <top style="hair">
        <color indexed="18"/>
      </top>
      <bottom/>
      <diagonal/>
    </border>
    <border>
      <left/>
      <right style="dashed">
        <color rgb="FF002F30"/>
      </right>
      <top/>
      <bottom style="hair">
        <color indexed="18"/>
      </bottom>
      <diagonal/>
    </border>
    <border>
      <left/>
      <right style="dashed">
        <color rgb="FF002F30"/>
      </right>
      <top style="hair">
        <color indexed="18"/>
      </top>
      <bottom style="thin">
        <color rgb="FF002F30"/>
      </bottom>
      <diagonal/>
    </border>
    <border>
      <left style="thin">
        <color rgb="FF002F30"/>
      </left>
      <right/>
      <top style="thin">
        <color rgb="FF002F30"/>
      </top>
      <bottom style="hair">
        <color indexed="18"/>
      </bottom>
      <diagonal/>
    </border>
    <border>
      <left/>
      <right/>
      <top style="thin">
        <color rgb="FF002F30"/>
      </top>
      <bottom style="hair">
        <color indexed="18"/>
      </bottom>
      <diagonal/>
    </border>
    <border>
      <left/>
      <right style="dashed">
        <color rgb="FF002F30"/>
      </right>
      <top style="thin">
        <color rgb="FF002F30"/>
      </top>
      <bottom style="hair">
        <color indexed="18"/>
      </bottom>
      <diagonal/>
    </border>
    <border>
      <left/>
      <right style="thin">
        <color rgb="FF002F30"/>
      </right>
      <top style="thin">
        <color rgb="FF002F30"/>
      </top>
      <bottom style="hair">
        <color indexed="18"/>
      </bottom>
      <diagonal/>
    </border>
    <border>
      <left style="thin">
        <color rgb="FF002F30"/>
      </left>
      <right/>
      <top style="hair">
        <color indexed="18"/>
      </top>
      <bottom/>
      <diagonal/>
    </border>
    <border>
      <left style="thin">
        <color rgb="FF002F30"/>
      </left>
      <right/>
      <top style="hair">
        <color rgb="FF002F30"/>
      </top>
      <bottom style="thin">
        <color rgb="FF002F30"/>
      </bottom>
      <diagonal/>
    </border>
    <border>
      <left/>
      <right/>
      <top style="hair">
        <color rgb="FF002F30"/>
      </top>
      <bottom style="thin">
        <color rgb="FF002F30"/>
      </bottom>
      <diagonal/>
    </border>
    <border>
      <left/>
      <right style="dashed">
        <color rgb="FF002F30"/>
      </right>
      <top style="hair">
        <color rgb="FF002F30"/>
      </top>
      <bottom style="thin">
        <color rgb="FF002F30"/>
      </bottom>
      <diagonal/>
    </border>
    <border>
      <left/>
      <right style="thin">
        <color rgb="FF002F30"/>
      </right>
      <top style="hair">
        <color rgb="FF002F30"/>
      </top>
      <bottom style="thin">
        <color rgb="FF002F30"/>
      </bottom>
      <diagonal/>
    </border>
    <border>
      <left style="thin">
        <color rgb="FF002F30"/>
      </left>
      <right/>
      <top style="hair">
        <color rgb="FF002F30"/>
      </top>
      <bottom style="hair">
        <color rgb="FF002F30"/>
      </bottom>
      <diagonal/>
    </border>
    <border>
      <left/>
      <right/>
      <top style="hair">
        <color rgb="FF002F30"/>
      </top>
      <bottom style="hair">
        <color rgb="FF002F30"/>
      </bottom>
      <diagonal/>
    </border>
    <border>
      <left/>
      <right style="dashed">
        <color rgb="FF002F30"/>
      </right>
      <top style="hair">
        <color rgb="FF002F30"/>
      </top>
      <bottom style="hair">
        <color rgb="FF002F30"/>
      </bottom>
      <diagonal/>
    </border>
    <border>
      <left/>
      <right style="thin">
        <color rgb="FF002F30"/>
      </right>
      <top style="hair">
        <color rgb="FF002F30"/>
      </top>
      <bottom style="hair">
        <color rgb="FF002F30"/>
      </bottom>
      <diagonal/>
    </border>
    <border>
      <left style="thin">
        <color rgb="FF002F30"/>
      </left>
      <right/>
      <top style="hair">
        <color rgb="FF002F30"/>
      </top>
      <bottom/>
      <diagonal/>
    </border>
    <border>
      <left/>
      <right/>
      <top style="hair">
        <color rgb="FF002F30"/>
      </top>
      <bottom/>
      <diagonal/>
    </border>
    <border>
      <left/>
      <right style="dashed">
        <color rgb="FF002F30"/>
      </right>
      <top style="hair">
        <color rgb="FF002F30"/>
      </top>
      <bottom/>
      <diagonal/>
    </border>
    <border>
      <left/>
      <right style="thin">
        <color rgb="FF002F30"/>
      </right>
      <top style="hair">
        <color rgb="FF002F30"/>
      </top>
      <bottom/>
      <diagonal/>
    </border>
    <border>
      <left style="thin">
        <color rgb="FF002F30"/>
      </left>
      <right/>
      <top/>
      <bottom style="hair">
        <color rgb="FF002F30"/>
      </bottom>
      <diagonal/>
    </border>
    <border>
      <left/>
      <right/>
      <top/>
      <bottom style="hair">
        <color rgb="FF002F30"/>
      </bottom>
      <diagonal/>
    </border>
    <border>
      <left/>
      <right style="dashed">
        <color rgb="FF002F30"/>
      </right>
      <top/>
      <bottom style="hair">
        <color rgb="FF002F30"/>
      </bottom>
      <diagonal/>
    </border>
    <border>
      <left/>
      <right style="thin">
        <color rgb="FF002F30"/>
      </right>
      <top/>
      <bottom style="hair">
        <color rgb="FF002F30"/>
      </bottom>
      <diagonal/>
    </border>
    <border>
      <left/>
      <right style="thin">
        <color rgb="FF002F30"/>
      </right>
      <top/>
      <bottom style="thin">
        <color theme="0" tint="-0.24994659260841701"/>
      </bottom>
      <diagonal/>
    </border>
    <border>
      <left/>
      <right style="thin">
        <color rgb="FF002F30"/>
      </right>
      <top style="thin">
        <color theme="0" tint="-0.24994659260841701"/>
      </top>
      <bottom style="thin">
        <color theme="0" tint="-0.24994659260841701"/>
      </bottom>
      <diagonal/>
    </border>
    <border>
      <left style="thin">
        <color rgb="FF002F30"/>
      </left>
      <right/>
      <top/>
      <bottom style="thin">
        <color indexed="64"/>
      </bottom>
      <diagonal/>
    </border>
    <border>
      <left/>
      <right/>
      <top/>
      <bottom style="thin">
        <color indexed="64"/>
      </bottom>
      <diagonal/>
    </border>
    <border>
      <left/>
      <right style="thin">
        <color rgb="FF002F30"/>
      </right>
      <top/>
      <bottom style="thin">
        <color indexed="64"/>
      </bottom>
      <diagonal/>
    </border>
    <border>
      <left style="thin">
        <color rgb="FF002F30"/>
      </left>
      <right/>
      <top style="dashed">
        <color rgb="FF002F30"/>
      </top>
      <bottom style="hair">
        <color rgb="FF002F30"/>
      </bottom>
      <diagonal/>
    </border>
    <border>
      <left/>
      <right/>
      <top style="dashed">
        <color rgb="FF002F30"/>
      </top>
      <bottom style="hair">
        <color rgb="FF002F30"/>
      </bottom>
      <diagonal/>
    </border>
    <border>
      <left/>
      <right style="dashed">
        <color rgb="FF002F30"/>
      </right>
      <top style="dashed">
        <color rgb="FF002F30"/>
      </top>
      <bottom style="hair">
        <color rgb="FF002F30"/>
      </bottom>
      <diagonal/>
    </border>
    <border>
      <left/>
      <right style="thin">
        <color rgb="FF002F30"/>
      </right>
      <top style="dashed">
        <color rgb="FF002F30"/>
      </top>
      <bottom style="hair">
        <color rgb="FF002F30"/>
      </bottom>
      <diagonal/>
    </border>
    <border>
      <left style="thin">
        <color rgb="FF002F30"/>
      </left>
      <right/>
      <top style="hair">
        <color rgb="FF002F30"/>
      </top>
      <bottom style="dashed">
        <color rgb="FF002F30"/>
      </bottom>
      <diagonal/>
    </border>
    <border>
      <left/>
      <right/>
      <top style="hair">
        <color rgb="FF002F30"/>
      </top>
      <bottom style="dashed">
        <color rgb="FF002F30"/>
      </bottom>
      <diagonal/>
    </border>
    <border>
      <left/>
      <right style="dashed">
        <color rgb="FF002F30"/>
      </right>
      <top style="hair">
        <color rgb="FF002F30"/>
      </top>
      <bottom style="dashed">
        <color rgb="FF002F30"/>
      </bottom>
      <diagonal/>
    </border>
    <border>
      <left/>
      <right style="thin">
        <color rgb="FF002F30"/>
      </right>
      <top style="hair">
        <color rgb="FF002F30"/>
      </top>
      <bottom style="dashed">
        <color rgb="FF002F30"/>
      </bottom>
      <diagonal/>
    </border>
    <border>
      <left/>
      <right/>
      <top style="thin">
        <color theme="0" tint="-0.24994659260841701"/>
      </top>
      <bottom style="thin">
        <color theme="0" tint="-0.34998626667073579"/>
      </bottom>
      <diagonal/>
    </border>
    <border>
      <left/>
      <right style="thin">
        <color rgb="FF002F30"/>
      </right>
      <top style="thin">
        <color theme="0" tint="-0.24994659260841701"/>
      </top>
      <bottom style="thin">
        <color theme="0" tint="-0.34998626667073579"/>
      </bottom>
      <diagonal/>
    </border>
    <border>
      <left/>
      <right/>
      <top style="thin">
        <color theme="0" tint="-0.24994659260841701"/>
      </top>
      <bottom/>
      <diagonal/>
    </border>
    <border>
      <left style="thin">
        <color rgb="FF002F30"/>
      </left>
      <right/>
      <top style="hair">
        <color rgb="FF002F30"/>
      </top>
      <bottom style="thin">
        <color theme="0" tint="-0.24994659260841701"/>
      </bottom>
      <diagonal/>
    </border>
    <border>
      <left style="thin">
        <color rgb="FF002F30"/>
      </left>
      <right/>
      <top style="thin">
        <color theme="0" tint="-0.24994659260841701"/>
      </top>
      <bottom style="thin">
        <color theme="0" tint="-0.24994659260841701"/>
      </bottom>
      <diagonal/>
    </border>
    <border>
      <left style="thin">
        <color rgb="FF002F30"/>
      </left>
      <right/>
      <top style="thin">
        <color theme="0" tint="-0.24994659260841701"/>
      </top>
      <bottom style="thin">
        <color theme="0" tint="-0.34998626667073579"/>
      </bottom>
      <diagonal/>
    </border>
    <border>
      <left style="thin">
        <color rgb="FF002F30"/>
      </left>
      <right/>
      <top style="thin">
        <color theme="0" tint="-0.24994659260841701"/>
      </top>
      <bottom style="thin">
        <color indexed="64"/>
      </bottom>
      <diagonal/>
    </border>
    <border>
      <left style="dashed">
        <color rgb="FF002F30"/>
      </left>
      <right style="thin">
        <color rgb="FF002F30"/>
      </right>
      <top style="thin">
        <color rgb="FF002F30"/>
      </top>
      <bottom/>
      <diagonal/>
    </border>
    <border>
      <left/>
      <right/>
      <top style="thin">
        <color theme="0" tint="-0.24994659260841701"/>
      </top>
      <bottom style="thin">
        <color indexed="64"/>
      </bottom>
      <diagonal/>
    </border>
    <border>
      <left/>
      <right/>
      <top style="thin">
        <color indexed="64"/>
      </top>
      <bottom/>
      <diagonal/>
    </border>
    <border>
      <left/>
      <right style="dashed">
        <color rgb="FF002F30"/>
      </right>
      <top style="thin">
        <color indexed="64"/>
      </top>
      <bottom/>
      <diagonal/>
    </border>
    <border>
      <left/>
      <right style="thin">
        <color rgb="FF002F30"/>
      </right>
      <top style="thin">
        <color theme="0" tint="-0.24994659260841701"/>
      </top>
      <bottom/>
      <diagonal/>
    </border>
    <border>
      <left style="thin">
        <color rgb="FF002F30"/>
      </left>
      <right/>
      <top/>
      <bottom style="thin">
        <color theme="0" tint="-0.24994659260841701"/>
      </bottom>
      <diagonal/>
    </border>
    <border>
      <left/>
      <right/>
      <top style="thin">
        <color auto="1"/>
      </top>
      <bottom style="thin">
        <color auto="1"/>
      </bottom>
      <diagonal/>
    </border>
    <border>
      <left/>
      <right/>
      <top style="hair">
        <color rgb="FF002F30"/>
      </top>
      <bottom style="thin">
        <color indexed="64"/>
      </bottom>
      <diagonal/>
    </border>
    <border>
      <left style="thin">
        <color rgb="FF002F30"/>
      </left>
      <right/>
      <top style="thin">
        <color theme="0" tint="-0.34998626667073579"/>
      </top>
      <bottom style="hair">
        <color rgb="FF002F30"/>
      </bottom>
      <diagonal/>
    </border>
    <border>
      <left style="thin">
        <color rgb="FF002F30"/>
      </left>
      <right/>
      <top style="thin">
        <color theme="0" tint="-0.24994659260841701"/>
      </top>
      <bottom style="hair">
        <color rgb="FF002F30"/>
      </bottom>
      <diagonal/>
    </border>
    <border>
      <left style="thin">
        <color indexed="64"/>
      </left>
      <right/>
      <top style="hair">
        <color rgb="FF002F30"/>
      </top>
      <bottom style="hair">
        <color rgb="FF002F30"/>
      </bottom>
      <diagonal/>
    </border>
    <border>
      <left/>
      <right style="thin">
        <color rgb="FF002F30"/>
      </right>
      <top style="thin">
        <color theme="0" tint="-0.24994659260841701"/>
      </top>
      <bottom style="thin">
        <color indexed="64"/>
      </bottom>
      <diagonal/>
    </border>
    <border>
      <left/>
      <right style="thin">
        <color indexed="64"/>
      </right>
      <top/>
      <bottom style="hair">
        <color rgb="FF002F30"/>
      </bottom>
      <diagonal/>
    </border>
    <border>
      <left style="thin">
        <color rgb="FF002F30"/>
      </left>
      <right/>
      <top style="dashed">
        <color rgb="FF002F30"/>
      </top>
      <bottom style="dashed">
        <color rgb="FF002F30"/>
      </bottom>
      <diagonal/>
    </border>
    <border>
      <left/>
      <right/>
      <top style="dashed">
        <color rgb="FF002F30"/>
      </top>
      <bottom style="dashed">
        <color rgb="FF002F30"/>
      </bottom>
      <diagonal/>
    </border>
    <border>
      <left/>
      <right style="dashed">
        <color rgb="FF002F30"/>
      </right>
      <top style="dashed">
        <color rgb="FF002F30"/>
      </top>
      <bottom style="dashed">
        <color rgb="FF002F30"/>
      </bottom>
      <diagonal/>
    </border>
    <border>
      <left style="dashed">
        <color rgb="FF002F30"/>
      </left>
      <right style="thin">
        <color rgb="FF002F30"/>
      </right>
      <top style="thin">
        <color rgb="FF002F30"/>
      </top>
      <bottom style="thin">
        <color rgb="FF002F30"/>
      </bottom>
      <diagonal/>
    </border>
    <border>
      <left style="dashed">
        <color rgb="FF002F30"/>
      </left>
      <right style="thin">
        <color rgb="FF002F30"/>
      </right>
      <top/>
      <bottom/>
      <diagonal/>
    </border>
    <border>
      <left style="dashed">
        <color rgb="FF002F30"/>
      </left>
      <right style="thin">
        <color rgb="FF002F30"/>
      </right>
      <top/>
      <bottom style="thin">
        <color rgb="FF002F30"/>
      </bottom>
      <diagonal/>
    </border>
    <border>
      <left style="dashed">
        <color rgb="FF002F30"/>
      </left>
      <right style="thin">
        <color rgb="FF002F30"/>
      </right>
      <top style="medium">
        <color rgb="FF007174"/>
      </top>
      <bottom style="medium">
        <color rgb="FF007174"/>
      </bottom>
      <diagonal/>
    </border>
    <border>
      <left style="dashed">
        <color rgb="FF002F30"/>
      </left>
      <right style="thin">
        <color rgb="FF002F30"/>
      </right>
      <top style="medium">
        <color rgb="FF007174"/>
      </top>
      <bottom/>
      <diagonal/>
    </border>
    <border>
      <left/>
      <right style="thin">
        <color rgb="FF002F30"/>
      </right>
      <top/>
      <bottom style="dashed">
        <color rgb="FF002F30"/>
      </bottom>
      <diagonal/>
    </border>
    <border>
      <left/>
      <right style="dashed">
        <color rgb="FF002F30"/>
      </right>
      <top/>
      <bottom style="thin">
        <color indexed="64"/>
      </bottom>
      <diagonal/>
    </border>
    <border>
      <left/>
      <right style="thin">
        <color indexed="64"/>
      </right>
      <top style="dashed">
        <color rgb="FF002F30"/>
      </top>
      <bottom style="dashed">
        <color rgb="FF002F30"/>
      </bottom>
      <diagonal/>
    </border>
    <border>
      <left/>
      <right/>
      <top style="thin">
        <color theme="0" tint="-0.34998626667073579"/>
      </top>
      <bottom style="hair">
        <color rgb="FF002F30"/>
      </bottom>
      <diagonal/>
    </border>
    <border>
      <left/>
      <right/>
      <top style="thin">
        <color theme="0" tint="-0.24994659260841701"/>
      </top>
      <bottom style="hair">
        <color rgb="FF002F30"/>
      </bottom>
      <diagonal/>
    </border>
    <border>
      <left/>
      <right/>
      <top/>
      <bottom style="thin">
        <color theme="0" tint="-0.34998626667073579"/>
      </bottom>
      <diagonal/>
    </border>
    <border>
      <left/>
      <right style="dashed">
        <color rgb="FF002F30"/>
      </right>
      <top style="thin">
        <color theme="0" tint="-0.24994659260841701"/>
      </top>
      <bottom style="thin">
        <color theme="0" tint="-0.24994659260841701"/>
      </bottom>
      <diagonal/>
    </border>
    <border>
      <left/>
      <right/>
      <top style="hair">
        <color rgb="FF002F30"/>
      </top>
      <bottom style="thin">
        <color theme="0" tint="-0.24994659260841701"/>
      </bottom>
      <diagonal/>
    </border>
    <border>
      <left/>
      <right/>
      <top style="hair">
        <color theme="1"/>
      </top>
      <bottom style="hair">
        <color theme="1"/>
      </bottom>
      <diagonal/>
    </border>
    <border>
      <left/>
      <right style="dashed">
        <color rgb="FF002F30"/>
      </right>
      <top/>
      <bottom style="thin">
        <color theme="0" tint="-0.24994659260841701"/>
      </bottom>
      <diagonal/>
    </border>
    <border>
      <left style="dashed">
        <color rgb="FF002F30"/>
      </left>
      <right/>
      <top/>
      <bottom/>
      <diagonal/>
    </border>
    <border>
      <left style="dashed">
        <color rgb="FF002F30"/>
      </left>
      <right/>
      <top style="thin">
        <color indexed="64"/>
      </top>
      <bottom/>
      <diagonal/>
    </border>
    <border>
      <left style="dashed">
        <color rgb="FF002F30"/>
      </left>
      <right style="dashed">
        <color rgb="FF002F30"/>
      </right>
      <top style="medium">
        <color rgb="FF007174"/>
      </top>
      <bottom style="thin">
        <color rgb="FF002F30"/>
      </bottom>
      <diagonal/>
    </border>
    <border>
      <left style="dashed">
        <color rgb="FF002F30"/>
      </left>
      <right style="dashed">
        <color rgb="FF002F30"/>
      </right>
      <top style="thin">
        <color rgb="FF002F30"/>
      </top>
      <bottom/>
      <diagonal/>
    </border>
    <border>
      <left style="dashed">
        <color rgb="FF002F30"/>
      </left>
      <right style="dashed">
        <color rgb="FF002F30"/>
      </right>
      <top/>
      <bottom/>
      <diagonal/>
    </border>
    <border>
      <left style="dashed">
        <color rgb="FF002F30"/>
      </left>
      <right style="dashed">
        <color rgb="FF002F30"/>
      </right>
      <top style="thin">
        <color rgb="FF002F30"/>
      </top>
      <bottom style="thin">
        <color rgb="FF002F30"/>
      </bottom>
      <diagonal/>
    </border>
    <border>
      <left style="dashed">
        <color rgb="FF002F30"/>
      </left>
      <right style="dashed">
        <color rgb="FF002F30"/>
      </right>
      <top/>
      <bottom style="thin">
        <color rgb="FF002F30"/>
      </bottom>
      <diagonal/>
    </border>
    <border>
      <left style="dashed">
        <color rgb="FF002F30"/>
      </left>
      <right style="dashed">
        <color rgb="FF002F30"/>
      </right>
      <top style="medium">
        <color rgb="FF007174"/>
      </top>
      <bottom style="medium">
        <color rgb="FF007174"/>
      </bottom>
      <diagonal/>
    </border>
    <border>
      <left/>
      <right style="dashed">
        <color rgb="FF002F30"/>
      </right>
      <top style="medium">
        <color rgb="FF007174"/>
      </top>
      <bottom style="thin">
        <color rgb="FF002F30"/>
      </bottom>
      <diagonal/>
    </border>
    <border>
      <left style="dashed">
        <color rgb="FF002F30"/>
      </left>
      <right style="dashed">
        <color rgb="FF002F30"/>
      </right>
      <top style="medium">
        <color rgb="FF007174"/>
      </top>
      <bottom/>
      <diagonal/>
    </border>
    <border>
      <left style="dashed">
        <color indexed="64"/>
      </left>
      <right style="thin">
        <color indexed="64"/>
      </right>
      <top style="thin">
        <color indexed="64"/>
      </top>
      <bottom/>
      <diagonal/>
    </border>
    <border>
      <left style="dashed">
        <color indexed="64"/>
      </left>
      <right style="thin">
        <color indexed="64"/>
      </right>
      <top style="hair">
        <color rgb="FF002F30"/>
      </top>
      <bottom style="hair">
        <color rgb="FF002F30"/>
      </bottom>
      <diagonal/>
    </border>
    <border>
      <left style="dashed">
        <color indexed="64"/>
      </left>
      <right style="thin">
        <color indexed="64"/>
      </right>
      <top style="hair">
        <color rgb="FF002F30"/>
      </top>
      <bottom style="thin">
        <color theme="0" tint="-0.24994659260841701"/>
      </bottom>
      <diagonal/>
    </border>
    <border>
      <left style="dashed">
        <color indexed="64"/>
      </left>
      <right style="thin">
        <color indexed="64"/>
      </right>
      <top/>
      <bottom/>
      <diagonal/>
    </border>
    <border>
      <left style="dashed">
        <color indexed="64"/>
      </left>
      <right style="thin">
        <color indexed="64"/>
      </right>
      <top style="thin">
        <color theme="0" tint="-0.24994659260841701"/>
      </top>
      <bottom style="thin">
        <color theme="0" tint="-0.24994659260841701"/>
      </bottom>
      <diagonal/>
    </border>
    <border>
      <left style="dashed">
        <color indexed="64"/>
      </left>
      <right style="thin">
        <color indexed="64"/>
      </right>
      <top style="thin">
        <color theme="0" tint="-0.24994659260841701"/>
      </top>
      <bottom style="thin">
        <color theme="0" tint="-0.34998626667073579"/>
      </bottom>
      <diagonal/>
    </border>
    <border>
      <left style="dashed">
        <color indexed="64"/>
      </left>
      <right style="thin">
        <color indexed="64"/>
      </right>
      <top style="thin">
        <color theme="0" tint="-0.34998626667073579"/>
      </top>
      <bottom/>
      <diagonal/>
    </border>
    <border>
      <left style="dashed">
        <color indexed="64"/>
      </left>
      <right style="thin">
        <color indexed="64"/>
      </right>
      <top style="hair">
        <color indexed="64"/>
      </top>
      <bottom style="hair">
        <color rgb="FF002F30"/>
      </bottom>
      <diagonal/>
    </border>
    <border>
      <left style="dashed">
        <color indexed="64"/>
      </left>
      <right style="thin">
        <color indexed="64"/>
      </right>
      <top style="thin">
        <color theme="0" tint="-0.34998626667073579"/>
      </top>
      <bottom style="hair">
        <color rgb="FF002F30"/>
      </bottom>
      <diagonal/>
    </border>
    <border>
      <left style="dashed">
        <color indexed="64"/>
      </left>
      <right style="thin">
        <color indexed="64"/>
      </right>
      <top style="thin">
        <color theme="0" tint="-0.24994659260841701"/>
      </top>
      <bottom/>
      <diagonal/>
    </border>
    <border>
      <left style="dashed">
        <color indexed="64"/>
      </left>
      <right style="thin">
        <color indexed="64"/>
      </right>
      <top style="hair">
        <color theme="1"/>
      </top>
      <bottom style="hair">
        <color theme="1"/>
      </bottom>
      <diagonal/>
    </border>
    <border>
      <left style="dashed">
        <color indexed="64"/>
      </left>
      <right style="thin">
        <color indexed="64"/>
      </right>
      <top style="hair">
        <color theme="1"/>
      </top>
      <bottom style="hair">
        <color rgb="FF002F30"/>
      </bottom>
      <diagonal/>
    </border>
    <border>
      <left style="dashed">
        <color indexed="64"/>
      </left>
      <right style="thin">
        <color indexed="64"/>
      </right>
      <top/>
      <bottom style="thin">
        <color indexed="64"/>
      </bottom>
      <diagonal/>
    </border>
  </borders>
  <cellStyleXfs count="354">
    <xf numFmtId="0" fontId="0" fillId="0" borderId="0"/>
    <xf numFmtId="0" fontId="25" fillId="0" borderId="0">
      <alignment vertical="top"/>
    </xf>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43" fontId="33" fillId="0" borderId="0" applyFont="0" applyFill="0" applyBorder="0" applyAlignment="0" applyProtection="0"/>
    <xf numFmtId="3" fontId="23" fillId="0" borderId="0" applyFont="0" applyFill="0" applyBorder="0" applyAlignment="0" applyProtection="0"/>
    <xf numFmtId="0" fontId="34" fillId="0" borderId="0">
      <protection locked="0"/>
    </xf>
    <xf numFmtId="166" fontId="35" fillId="0" borderId="0" applyFont="0" applyFill="0" applyBorder="0" applyAlignment="0" applyProtection="0"/>
    <xf numFmtId="189" fontId="23" fillId="0" borderId="0" applyFont="0" applyFill="0" applyBorder="0" applyAlignment="0" applyProtection="0"/>
    <xf numFmtId="172" fontId="22" fillId="0" borderId="0" applyFont="0" applyFill="0" applyBorder="0" applyAlignment="0" applyProtection="0"/>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190" fontId="34" fillId="0" borderId="0">
      <protection locked="0"/>
    </xf>
    <xf numFmtId="0" fontId="32" fillId="0" borderId="0" applyNumberFormat="0" applyFill="0" applyBorder="0" applyAlignment="0" applyProtection="0">
      <alignment vertical="top"/>
      <protection locked="0"/>
    </xf>
    <xf numFmtId="0" fontId="42" fillId="22" borderId="3" applyNumberFormat="0" applyBorder="0" applyProtection="0">
      <alignment vertical="center"/>
    </xf>
    <xf numFmtId="0" fontId="23" fillId="0" borderId="0"/>
    <xf numFmtId="0" fontId="36" fillId="0" borderId="0">
      <protection locked="0"/>
    </xf>
    <xf numFmtId="0" fontId="36" fillId="0" borderId="0">
      <protection locked="0"/>
    </xf>
    <xf numFmtId="0" fontId="32" fillId="0" borderId="0" applyNumberFormat="0" applyFill="0" applyBorder="0" applyAlignment="0" applyProtection="0">
      <alignment vertical="top"/>
      <protection locked="0"/>
    </xf>
    <xf numFmtId="166" fontId="23" fillId="0" borderId="0" applyFont="0" applyFill="0" applyBorder="0" applyAlignment="0" applyProtection="0"/>
    <xf numFmtId="167" fontId="23"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64" fontId="23" fillId="0" borderId="0" applyFont="0" applyFill="0" applyBorder="0" applyAlignment="0" applyProtection="0"/>
    <xf numFmtId="165" fontId="2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8" fillId="0" borderId="0"/>
    <xf numFmtId="0" fontId="4" fillId="0" borderId="0"/>
    <xf numFmtId="0" fontId="33" fillId="0" borderId="0"/>
    <xf numFmtId="0" fontId="33" fillId="0" borderId="0"/>
    <xf numFmtId="0" fontId="38" fillId="0" borderId="0"/>
    <xf numFmtId="0" fontId="33" fillId="0" borderId="0"/>
    <xf numFmtId="0" fontId="33" fillId="0" borderId="0"/>
    <xf numFmtId="0" fontId="39" fillId="0" borderId="0"/>
    <xf numFmtId="0" fontId="39" fillId="0" borderId="0"/>
    <xf numFmtId="0" fontId="39" fillId="0" borderId="0"/>
    <xf numFmtId="0" fontId="39" fillId="0" borderId="0"/>
    <xf numFmtId="0" fontId="39" fillId="0" borderId="0"/>
    <xf numFmtId="0" fontId="33" fillId="0" borderId="0"/>
    <xf numFmtId="0" fontId="33" fillId="0" borderId="0"/>
    <xf numFmtId="0" fontId="33" fillId="0" borderId="0"/>
    <xf numFmtId="0" fontId="33" fillId="0" borderId="0"/>
    <xf numFmtId="0" fontId="22" fillId="0" borderId="0"/>
    <xf numFmtId="0" fontId="23" fillId="0" borderId="0"/>
    <xf numFmtId="0" fontId="26" fillId="25" borderId="0"/>
    <xf numFmtId="0" fontId="27" fillId="26" borderId="0"/>
    <xf numFmtId="0" fontId="28" fillId="27" borderId="0">
      <alignment horizontal="left"/>
    </xf>
    <xf numFmtId="0" fontId="29" fillId="28" borderId="9">
      <alignment horizontal="left"/>
    </xf>
    <xf numFmtId="0" fontId="28" fillId="29" borderId="0"/>
    <xf numFmtId="175" fontId="23" fillId="30" borderId="9">
      <alignment horizontal="left"/>
      <protection locked="0"/>
    </xf>
    <xf numFmtId="3" fontId="23" fillId="30" borderId="9">
      <alignment horizontal="right"/>
      <protection locked="0"/>
    </xf>
    <xf numFmtId="4" fontId="23" fillId="30" borderId="9">
      <alignment horizontal="right"/>
      <protection locked="0"/>
    </xf>
    <xf numFmtId="176" fontId="23" fillId="30" borderId="9">
      <alignment horizontal="right"/>
      <protection locked="0"/>
    </xf>
    <xf numFmtId="177" fontId="23" fillId="30" borderId="9">
      <alignment horizontal="right"/>
      <protection locked="0"/>
    </xf>
    <xf numFmtId="178" fontId="23" fillId="30" borderId="9">
      <alignment horizontal="right"/>
      <protection locked="0"/>
    </xf>
    <xf numFmtId="179" fontId="23" fillId="30" borderId="9">
      <alignment horizontal="right"/>
      <protection locked="0"/>
    </xf>
    <xf numFmtId="180" fontId="23" fillId="30" borderId="9">
      <alignment horizontal="right"/>
      <protection locked="0"/>
    </xf>
    <xf numFmtId="171" fontId="23" fillId="30" borderId="9">
      <alignment horizontal="right"/>
      <protection locked="0"/>
    </xf>
    <xf numFmtId="2" fontId="23" fillId="30" borderId="9">
      <alignment horizontal="right"/>
      <protection locked="0"/>
    </xf>
    <xf numFmtId="181" fontId="23" fillId="30" borderId="9">
      <alignment horizontal="right"/>
      <protection locked="0"/>
    </xf>
    <xf numFmtId="182" fontId="23" fillId="30" borderId="9">
      <alignment horizontal="right"/>
      <protection locked="0"/>
    </xf>
    <xf numFmtId="170" fontId="23" fillId="30" borderId="9">
      <alignment horizontal="right"/>
      <protection locked="0"/>
    </xf>
    <xf numFmtId="1" fontId="23" fillId="30" borderId="9">
      <alignment horizontal="right"/>
      <protection locked="0"/>
    </xf>
    <xf numFmtId="183" fontId="23" fillId="30" borderId="9">
      <alignment horizontal="right"/>
      <protection locked="0"/>
    </xf>
    <xf numFmtId="177" fontId="23" fillId="30" borderId="9">
      <alignment horizontal="right"/>
      <protection locked="0"/>
    </xf>
    <xf numFmtId="178" fontId="23" fillId="30" borderId="9">
      <alignment horizontal="right"/>
      <protection locked="0"/>
    </xf>
    <xf numFmtId="184" fontId="23" fillId="30" borderId="9">
      <alignment horizontal="right"/>
      <protection locked="0"/>
    </xf>
    <xf numFmtId="185" fontId="23" fillId="30" borderId="9">
      <alignment horizontal="right"/>
      <protection locked="0"/>
    </xf>
    <xf numFmtId="186" fontId="23" fillId="30" borderId="9">
      <alignment horizontal="right"/>
      <protection locked="0"/>
    </xf>
    <xf numFmtId="187" fontId="23" fillId="30" borderId="9">
      <alignment horizontal="right"/>
      <protection locked="0"/>
    </xf>
    <xf numFmtId="188" fontId="23" fillId="30" borderId="9">
      <alignment horizontal="right"/>
      <protection locked="0"/>
    </xf>
    <xf numFmtId="49" fontId="23" fillId="30" borderId="9">
      <alignment horizontal="left"/>
      <protection locked="0"/>
    </xf>
    <xf numFmtId="49" fontId="30" fillId="30" borderId="9">
      <alignment horizontal="left" wrapText="1"/>
      <protection locked="0"/>
    </xf>
    <xf numFmtId="18" fontId="23" fillId="30" borderId="9">
      <alignment horizontal="left"/>
      <protection locked="0"/>
    </xf>
    <xf numFmtId="0" fontId="31" fillId="31" borderId="9">
      <alignment horizontal="center"/>
    </xf>
    <xf numFmtId="0" fontId="31" fillId="31" borderId="9">
      <alignment horizontal="center" wrapText="1"/>
    </xf>
    <xf numFmtId="175" fontId="31" fillId="31" borderId="9">
      <alignment horizontal="left"/>
    </xf>
    <xf numFmtId="0" fontId="31" fillId="31" borderId="9">
      <alignment horizontal="left"/>
    </xf>
    <xf numFmtId="0" fontId="31" fillId="31" borderId="9">
      <alignment horizontal="left" wrapText="1"/>
    </xf>
    <xf numFmtId="0" fontId="31" fillId="31" borderId="9">
      <alignment horizontal="right"/>
    </xf>
    <xf numFmtId="0" fontId="31" fillId="31" borderId="9">
      <alignment horizontal="right" wrapText="1"/>
    </xf>
    <xf numFmtId="175" fontId="23" fillId="32" borderId="9">
      <alignment horizontal="left"/>
    </xf>
    <xf numFmtId="3" fontId="23" fillId="32" borderId="9">
      <alignment horizontal="right"/>
    </xf>
    <xf numFmtId="4" fontId="23" fillId="32" borderId="9">
      <alignment horizontal="right"/>
    </xf>
    <xf numFmtId="176" fontId="23" fillId="32" borderId="9">
      <alignment horizontal="right"/>
    </xf>
    <xf numFmtId="177" fontId="23" fillId="32" borderId="9">
      <alignment horizontal="right"/>
    </xf>
    <xf numFmtId="178" fontId="23" fillId="32" borderId="9">
      <alignment horizontal="right"/>
      <protection locked="0"/>
    </xf>
    <xf numFmtId="179" fontId="23" fillId="32" borderId="9">
      <alignment horizontal="right"/>
    </xf>
    <xf numFmtId="180" fontId="23" fillId="32" borderId="9">
      <alignment horizontal="right"/>
    </xf>
    <xf numFmtId="171" fontId="23" fillId="32" borderId="9">
      <alignment horizontal="right"/>
    </xf>
    <xf numFmtId="2" fontId="23" fillId="32" borderId="9">
      <alignment horizontal="right"/>
    </xf>
    <xf numFmtId="181" fontId="23" fillId="32" borderId="9">
      <alignment horizontal="right"/>
    </xf>
    <xf numFmtId="182" fontId="23" fillId="32" borderId="9">
      <alignment horizontal="right"/>
    </xf>
    <xf numFmtId="170" fontId="23" fillId="32" borderId="9">
      <alignment horizontal="right"/>
    </xf>
    <xf numFmtId="1" fontId="23" fillId="32" borderId="9">
      <alignment horizontal="right"/>
    </xf>
    <xf numFmtId="183" fontId="23" fillId="32" borderId="9">
      <alignment horizontal="right"/>
    </xf>
    <xf numFmtId="177" fontId="23" fillId="32" borderId="9">
      <alignment horizontal="right"/>
    </xf>
    <xf numFmtId="178" fontId="23" fillId="32" borderId="9">
      <alignment horizontal="right"/>
    </xf>
    <xf numFmtId="184" fontId="23" fillId="32" borderId="9">
      <alignment horizontal="right"/>
    </xf>
    <xf numFmtId="185" fontId="23" fillId="32" borderId="9">
      <alignment horizontal="right"/>
    </xf>
    <xf numFmtId="186" fontId="23" fillId="32" borderId="9">
      <alignment horizontal="right"/>
    </xf>
    <xf numFmtId="187" fontId="23" fillId="32" borderId="9">
      <alignment horizontal="right"/>
    </xf>
    <xf numFmtId="188" fontId="23" fillId="32" borderId="9">
      <alignment horizontal="right"/>
    </xf>
    <xf numFmtId="49" fontId="23" fillId="32" borderId="9">
      <alignment horizontal="left"/>
    </xf>
    <xf numFmtId="49" fontId="23" fillId="32" borderId="9">
      <alignment horizontal="left" wrapText="1"/>
    </xf>
    <xf numFmtId="18" fontId="23" fillId="32" borderId="9">
      <alignment horizontal="left"/>
    </xf>
    <xf numFmtId="49" fontId="23" fillId="33" borderId="9">
      <alignment horizontal="left"/>
    </xf>
    <xf numFmtId="9" fontId="3" fillId="0" borderId="0" applyFont="0" applyFill="0" applyBorder="0" applyAlignment="0" applyProtection="0"/>
    <xf numFmtId="9" fontId="4" fillId="0" borderId="0" applyFont="0" applyFill="0" applyBorder="0" applyAlignment="0" applyProtection="0"/>
    <xf numFmtId="38" fontId="37" fillId="0" borderId="0" applyFont="0" applyFill="0" applyBorder="0" applyAlignment="0" applyProtection="0"/>
    <xf numFmtId="40" fontId="37" fillId="0" borderId="0" applyFont="0" applyFill="0" applyBorder="0" applyAlignment="0" applyProtection="0"/>
    <xf numFmtId="0" fontId="23" fillId="0" borderId="0"/>
    <xf numFmtId="0" fontId="25" fillId="0" borderId="0">
      <alignment vertical="top"/>
    </xf>
    <xf numFmtId="14" fontId="43" fillId="21" borderId="0" applyNumberFormat="0" applyBorder="0" applyProtection="0">
      <alignment horizontal="center" vertical="center" wrapText="1"/>
    </xf>
    <xf numFmtId="0" fontId="44" fillId="0" borderId="3" applyNumberFormat="0" applyBorder="0" applyProtection="0">
      <alignment vertical="center"/>
    </xf>
    <xf numFmtId="0" fontId="40" fillId="0" borderId="0"/>
    <xf numFmtId="167" fontId="23"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22" fillId="0" borderId="0"/>
    <xf numFmtId="38" fontId="41" fillId="0" borderId="0" applyFont="0" applyFill="0" applyBorder="0" applyAlignment="0" applyProtection="0"/>
    <xf numFmtId="168" fontId="22" fillId="0" borderId="0" applyFont="0" applyFill="0" applyBorder="0" applyAlignment="0" applyProtection="0"/>
    <xf numFmtId="0" fontId="12" fillId="7" borderId="1" applyNumberFormat="0" applyAlignment="0" applyProtection="0"/>
    <xf numFmtId="0" fontId="16" fillId="21" borderId="2"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13" fillId="20" borderId="10" applyNumberFormat="0" applyAlignment="0" applyProtection="0"/>
    <xf numFmtId="0" fontId="18"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8" fillId="0" borderId="6" applyNumberFormat="0" applyFill="0" applyAlignment="0" applyProtection="0"/>
    <xf numFmtId="0" fontId="8" fillId="0" borderId="0" applyNumberFormat="0" applyFill="0" applyBorder="0" applyAlignment="0" applyProtection="0"/>
    <xf numFmtId="0" fontId="10" fillId="3" borderId="0" applyNumberFormat="0" applyBorder="0" applyAlignment="0" applyProtection="0"/>
    <xf numFmtId="0" fontId="9" fillId="4" borderId="0" applyNumberFormat="0" applyBorder="0" applyAlignment="0" applyProtection="0"/>
    <xf numFmtId="0" fontId="21" fillId="0" borderId="0"/>
    <xf numFmtId="0" fontId="4" fillId="0" borderId="0"/>
    <xf numFmtId="0" fontId="4" fillId="0" borderId="0"/>
    <xf numFmtId="191" fontId="4" fillId="0" borderId="0" applyFont="0" applyFill="0" applyBorder="0" applyAlignment="0" applyProtection="0"/>
    <xf numFmtId="191" fontId="4" fillId="0" borderId="0" applyFont="0" applyFill="0" applyBorder="0" applyAlignment="0" applyProtection="0"/>
    <xf numFmtId="192" fontId="41" fillId="0" borderId="0" applyFont="0" applyFill="0" applyBorder="0" applyAlignment="0" applyProtection="0"/>
    <xf numFmtId="193" fontId="41" fillId="0" borderId="0" applyFont="0" applyFill="0" applyBorder="0" applyAlignment="0" applyProtection="0"/>
    <xf numFmtId="0" fontId="11" fillId="23" borderId="0" applyNumberFormat="0" applyBorder="0" applyAlignment="0" applyProtection="0"/>
    <xf numFmtId="0" fontId="17" fillId="0" borderId="0" applyNumberFormat="0" applyFill="0" applyBorder="0" applyAlignment="0" applyProtection="0"/>
    <xf numFmtId="0" fontId="4" fillId="24" borderId="8" applyNumberFormat="0" applyFont="0" applyAlignment="0" applyProtection="0"/>
    <xf numFmtId="0" fontId="15" fillId="0" borderId="7" applyNumberFormat="0" applyFill="0" applyAlignment="0" applyProtection="0"/>
    <xf numFmtId="0" fontId="19" fillId="0" borderId="11" applyNumberFormat="0" applyFill="0" applyAlignment="0" applyProtection="0"/>
    <xf numFmtId="0" fontId="5" fillId="0" borderId="0" applyNumberFormat="0" applyFill="0" applyBorder="0" applyAlignment="0" applyProtection="0"/>
    <xf numFmtId="0" fontId="14" fillId="20" borderId="1" applyNumberFormat="0" applyAlignment="0" applyProtection="0"/>
    <xf numFmtId="9" fontId="4" fillId="0" borderId="0" applyFont="0" applyFill="0" applyBorder="0" applyAlignment="0" applyProtection="0"/>
    <xf numFmtId="0" fontId="2" fillId="0" borderId="0"/>
    <xf numFmtId="9" fontId="2" fillId="0" borderId="0" applyFont="0" applyFill="0" applyBorder="0" applyAlignment="0" applyProtection="0"/>
    <xf numFmtId="0" fontId="59" fillId="0" borderId="0"/>
    <xf numFmtId="9" fontId="59"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43" fontId="66" fillId="0" borderId="0" applyFont="0" applyFill="0" applyBorder="0" applyAlignment="0" applyProtection="0"/>
    <xf numFmtId="0" fontId="68" fillId="0" borderId="0"/>
    <xf numFmtId="0" fontId="71" fillId="2" borderId="0" applyNumberFormat="0" applyBorder="0" applyAlignment="0" applyProtection="0"/>
    <xf numFmtId="0" fontId="71" fillId="7" borderId="0" applyNumberFormat="0" applyBorder="0" applyAlignment="0" applyProtection="0"/>
    <xf numFmtId="0" fontId="71" fillId="24" borderId="0" applyNumberFormat="0" applyBorder="0" applyAlignment="0" applyProtection="0"/>
    <xf numFmtId="0" fontId="71" fillId="38" borderId="0" applyNumberFormat="0" applyBorder="0" applyAlignment="0" applyProtection="0"/>
    <xf numFmtId="0" fontId="71" fillId="2" borderId="0" applyNumberFormat="0" applyBorder="0" applyAlignment="0" applyProtection="0"/>
    <xf numFmtId="0" fontId="71" fillId="7" borderId="0" applyNumberFormat="0" applyBorder="0" applyAlignment="0" applyProtection="0"/>
    <xf numFmtId="0" fontId="71" fillId="39" borderId="0" applyNumberFormat="0" applyBorder="0" applyAlignment="0" applyProtection="0"/>
    <xf numFmtId="0" fontId="71" fillId="7" borderId="0" applyNumberFormat="0" applyBorder="0" applyAlignment="0" applyProtection="0"/>
    <xf numFmtId="0" fontId="71" fillId="23" borderId="0" applyNumberFormat="0" applyBorder="0" applyAlignment="0" applyProtection="0"/>
    <xf numFmtId="0" fontId="71" fillId="20" borderId="0" applyNumberFormat="0" applyBorder="0" applyAlignment="0" applyProtection="0"/>
    <xf numFmtId="0" fontId="71" fillId="39" borderId="0" applyNumberFormat="0" applyBorder="0" applyAlignment="0" applyProtection="0"/>
    <xf numFmtId="0" fontId="71" fillId="7" borderId="0" applyNumberFormat="0" applyBorder="0" applyAlignment="0" applyProtection="0"/>
    <xf numFmtId="0" fontId="72" fillId="39" borderId="0" applyNumberFormat="0" applyBorder="0" applyAlignment="0" applyProtection="0"/>
    <xf numFmtId="0" fontId="72" fillId="7" borderId="0" applyNumberFormat="0" applyBorder="0" applyAlignment="0" applyProtection="0"/>
    <xf numFmtId="0" fontId="72" fillId="23" borderId="0" applyNumberFormat="0" applyBorder="0" applyAlignment="0" applyProtection="0"/>
    <xf numFmtId="0" fontId="72" fillId="20" borderId="0" applyNumberFormat="0" applyBorder="0" applyAlignment="0" applyProtection="0"/>
    <xf numFmtId="0" fontId="72" fillId="39" borderId="0" applyNumberFormat="0" applyBorder="0" applyAlignment="0" applyProtection="0"/>
    <xf numFmtId="0" fontId="72" fillId="7" borderId="0" applyNumberFormat="0" applyBorder="0" applyAlignment="0" applyProtection="0"/>
    <xf numFmtId="0" fontId="72" fillId="14" borderId="0" applyNumberFormat="0" applyBorder="0" applyAlignment="0" applyProtection="0"/>
    <xf numFmtId="0" fontId="72" fillId="17" borderId="0" applyNumberFormat="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14" borderId="0" applyNumberFormat="0" applyBorder="0" applyAlignment="0" applyProtection="0"/>
    <xf numFmtId="0" fontId="72" fillId="19" borderId="0" applyNumberFormat="0" applyBorder="0" applyAlignment="0" applyProtection="0"/>
    <xf numFmtId="0" fontId="73" fillId="4" borderId="0" applyNumberFormat="0" applyBorder="0" applyAlignment="0" applyProtection="0"/>
    <xf numFmtId="0" fontId="74" fillId="2" borderId="1" applyNumberFormat="0" applyAlignment="0" applyProtection="0"/>
    <xf numFmtId="0" fontId="75" fillId="21" borderId="2" applyNumberFormat="0" applyAlignment="0" applyProtection="0"/>
    <xf numFmtId="0" fontId="76" fillId="0" borderId="7" applyNumberFormat="0" applyFill="0" applyAlignment="0" applyProtection="0"/>
    <xf numFmtId="197" fontId="69" fillId="0" borderId="0" applyFont="0" applyFill="0" applyBorder="0" applyAlignment="0" applyProtection="0"/>
    <xf numFmtId="0" fontId="77" fillId="3" borderId="0" applyNumberFormat="0" applyBorder="0" applyAlignment="0" applyProtection="0"/>
    <xf numFmtId="43" fontId="30" fillId="0" borderId="0" applyFont="0" applyFill="0" applyBorder="0" applyAlignment="0" applyProtection="0"/>
    <xf numFmtId="167" fontId="30" fillId="0" borderId="0" applyFont="0" applyFill="0" applyBorder="0" applyAlignment="0" applyProtection="0"/>
    <xf numFmtId="0" fontId="70" fillId="0" borderId="0"/>
    <xf numFmtId="0" fontId="68" fillId="0" borderId="0"/>
    <xf numFmtId="0" fontId="68" fillId="0" borderId="0"/>
    <xf numFmtId="0" fontId="68" fillId="0" borderId="0"/>
    <xf numFmtId="0" fontId="68" fillId="0" borderId="0"/>
    <xf numFmtId="0" fontId="30" fillId="0" borderId="0"/>
    <xf numFmtId="0" fontId="68" fillId="0" borderId="0"/>
    <xf numFmtId="0" fontId="68" fillId="0" borderId="0"/>
    <xf numFmtId="0" fontId="68" fillId="0" borderId="0"/>
    <xf numFmtId="0" fontId="68" fillId="0" borderId="0"/>
    <xf numFmtId="0" fontId="68" fillId="0" borderId="0"/>
    <xf numFmtId="0" fontId="30" fillId="0" borderId="0"/>
    <xf numFmtId="0" fontId="68" fillId="0" borderId="0"/>
    <xf numFmtId="0" fontId="68" fillId="0" borderId="0"/>
    <xf numFmtId="0" fontId="30" fillId="0" borderId="0"/>
    <xf numFmtId="0" fontId="30" fillId="0" borderId="0"/>
    <xf numFmtId="0" fontId="1" fillId="0" borderId="0"/>
    <xf numFmtId="0" fontId="30" fillId="0" borderId="0"/>
    <xf numFmtId="0" fontId="30" fillId="0" borderId="0"/>
    <xf numFmtId="0" fontId="78" fillId="0" borderId="0"/>
    <xf numFmtId="0" fontId="68" fillId="0" borderId="0"/>
    <xf numFmtId="0" fontId="1" fillId="0" borderId="0"/>
    <xf numFmtId="0" fontId="6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9" fillId="0" borderId="0"/>
    <xf numFmtId="0" fontId="68" fillId="0" borderId="0"/>
    <xf numFmtId="0" fontId="68" fillId="0" borderId="0"/>
    <xf numFmtId="0" fontId="68" fillId="0" borderId="0"/>
    <xf numFmtId="0" fontId="68" fillId="0" borderId="0"/>
    <xf numFmtId="0" fontId="68" fillId="0" borderId="0"/>
    <xf numFmtId="0" fontId="30" fillId="0" borderId="0"/>
    <xf numFmtId="0" fontId="68" fillId="0" borderId="0"/>
    <xf numFmtId="0" fontId="68" fillId="0" borderId="0"/>
    <xf numFmtId="0" fontId="68" fillId="0" borderId="0"/>
    <xf numFmtId="0" fontId="68" fillId="0" borderId="0"/>
    <xf numFmtId="0" fontId="30" fillId="24" borderId="8" applyNumberFormat="0" applyFont="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30"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0" fontId="79" fillId="2" borderId="10" applyNumberFormat="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3" fillId="0" borderId="16" applyNumberFormat="0" applyFill="0" applyAlignment="0" applyProtection="0"/>
    <xf numFmtId="0" fontId="84" fillId="0" borderId="17" applyNumberFormat="0" applyFill="0" applyAlignment="0" applyProtection="0"/>
    <xf numFmtId="0" fontId="85" fillId="0" borderId="18" applyNumberFormat="0" applyFill="0" applyAlignment="0" applyProtection="0"/>
    <xf numFmtId="0" fontId="85" fillId="0" borderId="0" applyNumberFormat="0" applyFill="0" applyBorder="0" applyAlignment="0" applyProtection="0"/>
    <xf numFmtId="0" fontId="69" fillId="0" borderId="0"/>
    <xf numFmtId="0" fontId="68" fillId="0" borderId="0"/>
    <xf numFmtId="0" fontId="86" fillId="0" borderId="0" applyNumberFormat="0" applyFill="0" applyBorder="0" applyAlignment="0" applyProtection="0">
      <alignment vertical="top"/>
      <protection locked="0"/>
    </xf>
    <xf numFmtId="0" fontId="87" fillId="42" borderId="0" applyNumberFormat="0" applyBorder="0" applyAlignment="0" applyProtection="0"/>
    <xf numFmtId="0" fontId="87" fillId="7" borderId="0" applyNumberFormat="0" applyBorder="0" applyAlignment="0" applyProtection="0"/>
    <xf numFmtId="0" fontId="87" fillId="24" borderId="0" applyNumberFormat="0" applyBorder="0" applyAlignment="0" applyProtection="0"/>
    <xf numFmtId="0" fontId="87" fillId="42" borderId="0" applyNumberFormat="0" applyBorder="0" applyAlignment="0" applyProtection="0"/>
    <xf numFmtId="0" fontId="87" fillId="6" borderId="0" applyNumberFormat="0" applyBorder="0" applyAlignment="0" applyProtection="0"/>
    <xf numFmtId="0" fontId="87" fillId="7" borderId="0" applyNumberFormat="0" applyBorder="0" applyAlignment="0" applyProtection="0"/>
    <xf numFmtId="0" fontId="87" fillId="20" borderId="0" applyNumberFormat="0" applyBorder="0" applyAlignment="0" applyProtection="0"/>
    <xf numFmtId="0" fontId="87" fillId="9" borderId="0" applyNumberFormat="0" applyBorder="0" applyAlignment="0" applyProtection="0"/>
    <xf numFmtId="0" fontId="87" fillId="23" borderId="0" applyNumberFormat="0" applyBorder="0" applyAlignment="0" applyProtection="0"/>
    <xf numFmtId="0" fontId="87" fillId="20" borderId="0" applyNumberFormat="0" applyBorder="0" applyAlignment="0" applyProtection="0"/>
    <xf numFmtId="0" fontId="87" fillId="43" borderId="0" applyNumberFormat="0" applyBorder="0" applyAlignment="0" applyProtection="0"/>
    <xf numFmtId="0" fontId="87" fillId="7" borderId="0" applyNumberFormat="0" applyBorder="0" applyAlignment="0" applyProtection="0"/>
    <xf numFmtId="0" fontId="88" fillId="43" borderId="0" applyNumberFormat="0" applyBorder="0" applyAlignment="0" applyProtection="0"/>
    <xf numFmtId="0" fontId="88" fillId="44" borderId="0" applyNumberFormat="0" applyBorder="0" applyAlignment="0" applyProtection="0"/>
    <xf numFmtId="0" fontId="88" fillId="23" borderId="0" applyNumberFormat="0" applyBorder="0" applyAlignment="0" applyProtection="0"/>
    <xf numFmtId="0" fontId="88" fillId="20" borderId="0" applyNumberFormat="0" applyBorder="0" applyAlignment="0" applyProtection="0"/>
    <xf numFmtId="0" fontId="88" fillId="43" borderId="0" applyNumberFormat="0" applyBorder="0" applyAlignment="0" applyProtection="0"/>
    <xf numFmtId="0" fontId="88" fillId="7" borderId="0" applyNumberFormat="0" applyBorder="0" applyAlignment="0" applyProtection="0"/>
    <xf numFmtId="0" fontId="89" fillId="4" borderId="0" applyNumberFormat="0" applyBorder="0" applyAlignment="0" applyProtection="0"/>
    <xf numFmtId="0" fontId="90" fillId="42" borderId="1" applyNumberFormat="0" applyAlignment="0" applyProtection="0"/>
    <xf numFmtId="0" fontId="91" fillId="38" borderId="19" applyNumberFormat="0" applyAlignment="0" applyProtection="0"/>
    <xf numFmtId="0" fontId="92" fillId="0" borderId="7" applyNumberFormat="0" applyFill="0" applyAlignment="0" applyProtection="0"/>
    <xf numFmtId="0" fontId="93" fillId="0" borderId="0" applyNumberFormat="0" applyFill="0" applyBorder="0" applyAlignment="0" applyProtection="0"/>
    <xf numFmtId="0" fontId="88" fillId="14" borderId="0" applyNumberFormat="0" applyBorder="0" applyAlignment="0" applyProtection="0"/>
    <xf numFmtId="0" fontId="88" fillId="44" borderId="0" applyNumberFormat="0" applyBorder="0" applyAlignment="0" applyProtection="0"/>
    <xf numFmtId="0" fontId="88" fillId="16" borderId="0" applyNumberFormat="0" applyBorder="0" applyAlignment="0" applyProtection="0"/>
    <xf numFmtId="0" fontId="88" fillId="41" borderId="0" applyNumberFormat="0" applyBorder="0" applyAlignment="0" applyProtection="0"/>
    <xf numFmtId="0" fontId="88" fillId="14" borderId="0" applyNumberFormat="0" applyBorder="0" applyAlignment="0" applyProtection="0"/>
    <xf numFmtId="0" fontId="88" fillId="44" borderId="0" applyNumberFormat="0" applyBorder="0" applyAlignment="0" applyProtection="0"/>
    <xf numFmtId="0" fontId="94" fillId="7" borderId="1" applyNumberFormat="0" applyAlignment="0" applyProtection="0"/>
    <xf numFmtId="0" fontId="95" fillId="3" borderId="0" applyNumberFormat="0" applyBorder="0" applyAlignment="0" applyProtection="0"/>
    <xf numFmtId="0" fontId="96" fillId="23" borderId="0" applyNumberFormat="0" applyBorder="0" applyAlignment="0" applyProtection="0"/>
    <xf numFmtId="0" fontId="30" fillId="24" borderId="8" applyNumberFormat="0" applyFont="0" applyAlignment="0" applyProtection="0"/>
    <xf numFmtId="0" fontId="97" fillId="42" borderId="20" applyNumberFormat="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100" fillId="0" borderId="16" applyNumberFormat="0" applyFill="0" applyAlignment="0" applyProtection="0"/>
    <xf numFmtId="0" fontId="101" fillId="0" borderId="21" applyNumberFormat="0" applyFill="0" applyAlignment="0" applyProtection="0"/>
    <xf numFmtId="0" fontId="93" fillId="0" borderId="22" applyNumberFormat="0" applyFill="0" applyAlignment="0" applyProtection="0"/>
    <xf numFmtId="0" fontId="102" fillId="0" borderId="0" applyNumberFormat="0" applyFill="0" applyBorder="0" applyAlignment="0" applyProtection="0"/>
    <xf numFmtId="0" fontId="103" fillId="0" borderId="23" applyNumberFormat="0" applyFill="0" applyAlignment="0" applyProtection="0"/>
    <xf numFmtId="0" fontId="68" fillId="0" borderId="0"/>
    <xf numFmtId="0" fontId="30" fillId="0" borderId="0"/>
    <xf numFmtId="0" fontId="1" fillId="0" borderId="0"/>
    <xf numFmtId="9" fontId="104" fillId="0" borderId="0" applyFont="0" applyFill="0" applyBorder="0" applyAlignment="0" applyProtection="0"/>
    <xf numFmtId="0" fontId="68" fillId="0" borderId="0"/>
    <xf numFmtId="9" fontId="68" fillId="0" borderId="0" applyFont="0" applyFill="0" applyBorder="0" applyAlignment="0" applyProtection="0"/>
    <xf numFmtId="9" fontId="68" fillId="0" borderId="0" applyFont="0" applyFill="0" applyBorder="0" applyAlignment="0" applyProtection="0"/>
    <xf numFmtId="0" fontId="68" fillId="0" borderId="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9" fontId="68" fillId="0" borderId="0" applyFont="0" applyFill="0" applyBorder="0" applyAlignment="0" applyProtection="0"/>
    <xf numFmtId="0" fontId="1" fillId="0" borderId="0"/>
    <xf numFmtId="0" fontId="74" fillId="2" borderId="24" applyNumberFormat="0" applyAlignment="0" applyProtection="0"/>
    <xf numFmtId="0" fontId="30" fillId="24" borderId="25" applyNumberFormat="0" applyFont="0" applyAlignment="0" applyProtection="0"/>
    <xf numFmtId="0" fontId="79" fillId="2" borderId="26" applyNumberFormat="0" applyAlignment="0" applyProtection="0"/>
    <xf numFmtId="0" fontId="90" fillId="42" borderId="24" applyNumberFormat="0" applyAlignment="0" applyProtection="0"/>
    <xf numFmtId="0" fontId="94" fillId="7" borderId="24" applyNumberFormat="0" applyAlignment="0" applyProtection="0"/>
    <xf numFmtId="0" fontId="30" fillId="24" borderId="25" applyNumberFormat="0" applyFont="0" applyAlignment="0" applyProtection="0"/>
    <xf numFmtId="0" fontId="97" fillId="42" borderId="27" applyNumberFormat="0" applyAlignment="0" applyProtection="0"/>
    <xf numFmtId="0" fontId="103" fillId="0" borderId="28" applyNumberFormat="0" applyFill="0" applyAlignment="0" applyProtection="0"/>
    <xf numFmtId="43" fontId="3" fillId="0" borderId="0" applyFont="0" applyFill="0" applyBorder="0" applyAlignment="0" applyProtection="0"/>
  </cellStyleXfs>
  <cellXfs count="1122">
    <xf numFmtId="0" fontId="0" fillId="0" borderId="0" xfId="0"/>
    <xf numFmtId="3" fontId="45" fillId="0" borderId="0" xfId="0" applyNumberFormat="1" applyFont="1" applyAlignment="1">
      <alignment horizontal="center" vertical="center"/>
    </xf>
    <xf numFmtId="0" fontId="47" fillId="0" borderId="0" xfId="0" applyFont="1"/>
    <xf numFmtId="0" fontId="45" fillId="0" borderId="0" xfId="0" applyFont="1"/>
    <xf numFmtId="0" fontId="54" fillId="0" borderId="0" xfId="0" applyFont="1"/>
    <xf numFmtId="3" fontId="45" fillId="0" borderId="0" xfId="0" applyNumberFormat="1" applyFont="1"/>
    <xf numFmtId="0" fontId="45" fillId="0" borderId="0" xfId="0" applyFont="1" applyAlignment="1">
      <alignment vertical="center"/>
    </xf>
    <xf numFmtId="0" fontId="45" fillId="0" borderId="0" xfId="0" applyFont="1" applyAlignment="1">
      <alignment horizontal="center" vertical="center"/>
    </xf>
    <xf numFmtId="0" fontId="52" fillId="0" borderId="0" xfId="39" applyFont="1" applyBorder="1" applyAlignment="1" applyProtection="1">
      <alignment horizontal="right" vertical="center"/>
    </xf>
    <xf numFmtId="0" fontId="46" fillId="0" borderId="0" xfId="0" applyFont="1" applyAlignment="1">
      <alignment vertical="center"/>
    </xf>
    <xf numFmtId="0" fontId="47" fillId="0" borderId="0" xfId="0" applyFont="1" applyAlignment="1">
      <alignment vertical="center"/>
    </xf>
    <xf numFmtId="0" fontId="50" fillId="0" borderId="0" xfId="0" applyFont="1" applyAlignment="1">
      <alignment vertical="center"/>
    </xf>
    <xf numFmtId="0" fontId="0" fillId="0" borderId="0" xfId="0" applyAlignment="1">
      <alignment vertical="center"/>
    </xf>
    <xf numFmtId="0" fontId="57" fillId="0" borderId="0" xfId="0" applyFont="1" applyAlignment="1">
      <alignment vertical="center"/>
    </xf>
    <xf numFmtId="0" fontId="63" fillId="0" borderId="0" xfId="0" applyFont="1" applyAlignment="1">
      <alignment horizontal="center" vertical="center" wrapText="1"/>
    </xf>
    <xf numFmtId="9" fontId="47" fillId="0" borderId="0" xfId="132" applyFont="1" applyAlignment="1">
      <alignment horizontal="left" vertical="center"/>
    </xf>
    <xf numFmtId="0" fontId="53" fillId="0" borderId="0" xfId="184" applyFont="1" applyAlignment="1">
      <alignment vertical="center"/>
    </xf>
    <xf numFmtId="0" fontId="56" fillId="0" borderId="0" xfId="184" applyFont="1" applyAlignment="1">
      <alignment vertical="center"/>
    </xf>
    <xf numFmtId="0" fontId="53" fillId="0" borderId="0" xfId="184" applyFont="1" applyAlignment="1">
      <alignment horizontal="center" vertical="center"/>
    </xf>
    <xf numFmtId="0" fontId="47" fillId="0" borderId="0" xfId="184" applyFont="1" applyAlignment="1">
      <alignment horizontal="left" vertical="center"/>
    </xf>
    <xf numFmtId="0" fontId="56" fillId="0" borderId="0" xfId="184" applyFont="1"/>
    <xf numFmtId="0" fontId="55" fillId="0" borderId="0" xfId="184" applyFont="1" applyAlignment="1">
      <alignment horizontal="center" vertical="center"/>
    </xf>
    <xf numFmtId="174" fontId="56" fillId="0" borderId="0" xfId="184" applyNumberFormat="1" applyFont="1"/>
    <xf numFmtId="0" fontId="45" fillId="0" borderId="0" xfId="186" applyFont="1"/>
    <xf numFmtId="0" fontId="47" fillId="0" borderId="0" xfId="186" applyFont="1"/>
    <xf numFmtId="0" fontId="46" fillId="0" borderId="0" xfId="186" applyFont="1"/>
    <xf numFmtId="0" fontId="50" fillId="0" borderId="0" xfId="186" applyFont="1"/>
    <xf numFmtId="0" fontId="64" fillId="0" borderId="0" xfId="186" applyFont="1"/>
    <xf numFmtId="0" fontId="51" fillId="0" borderId="0" xfId="184" applyFont="1" applyAlignment="1">
      <alignment vertical="center"/>
    </xf>
    <xf numFmtId="0" fontId="64" fillId="0" borderId="0" xfId="184" applyFont="1"/>
    <xf numFmtId="0" fontId="65" fillId="0" borderId="0" xfId="186" applyFont="1"/>
    <xf numFmtId="0" fontId="64" fillId="0" borderId="0" xfId="184" applyFont="1" applyAlignment="1">
      <alignment horizontal="left" vertical="center"/>
    </xf>
    <xf numFmtId="0" fontId="62" fillId="0" borderId="0" xfId="0" applyFont="1" applyAlignment="1">
      <alignment horizontal="center" vertical="center" wrapText="1"/>
    </xf>
    <xf numFmtId="0" fontId="45" fillId="34" borderId="0" xfId="0" applyFont="1" applyFill="1" applyAlignment="1">
      <alignment vertical="center"/>
    </xf>
    <xf numFmtId="0" fontId="56" fillId="34" borderId="0" xfId="184" applyFont="1" applyFill="1" applyAlignment="1">
      <alignment vertical="center"/>
    </xf>
    <xf numFmtId="0" fontId="46" fillId="34" borderId="0" xfId="0" applyFont="1" applyFill="1" applyAlignment="1">
      <alignment vertical="center"/>
    </xf>
    <xf numFmtId="0" fontId="60" fillId="0" borderId="0" xfId="0" applyFont="1" applyAlignment="1">
      <alignment horizontal="left" vertical="top" wrapText="1"/>
    </xf>
    <xf numFmtId="0" fontId="55" fillId="0" borderId="0" xfId="0" applyFont="1" applyAlignment="1">
      <alignment horizontal="left" vertical="top" wrapText="1"/>
    </xf>
    <xf numFmtId="9" fontId="46" fillId="0" borderId="0" xfId="132" applyFont="1" applyBorder="1" applyAlignment="1">
      <alignment vertical="center"/>
    </xf>
    <xf numFmtId="3" fontId="46" fillId="0" borderId="0" xfId="0" applyNumberFormat="1" applyFont="1" applyAlignment="1">
      <alignment vertical="center"/>
    </xf>
    <xf numFmtId="1" fontId="46" fillId="0" borderId="0" xfId="0" applyNumberFormat="1" applyFont="1" applyAlignment="1">
      <alignment vertical="center"/>
    </xf>
    <xf numFmtId="10" fontId="47" fillId="0" borderId="0" xfId="132" applyNumberFormat="1" applyFont="1" applyFill="1" applyAlignment="1">
      <alignment horizontal="left" vertical="center"/>
    </xf>
    <xf numFmtId="0" fontId="67" fillId="0" borderId="0" xfId="0" applyFont="1" applyAlignment="1">
      <alignment horizontal="left" vertical="center" wrapText="1"/>
    </xf>
    <xf numFmtId="0" fontId="58" fillId="0" borderId="0" xfId="0" applyFont="1" applyAlignment="1">
      <alignment horizontal="left" vertical="center" wrapText="1"/>
    </xf>
    <xf numFmtId="1" fontId="46" fillId="34" borderId="0" xfId="132" applyNumberFormat="1" applyFont="1" applyFill="1" applyBorder="1" applyAlignment="1">
      <alignment horizontal="center" vertical="center" wrapText="1"/>
    </xf>
    <xf numFmtId="198" fontId="56" fillId="0" borderId="0" xfId="184" applyNumberFormat="1" applyFont="1" applyAlignment="1">
      <alignment horizontal="center"/>
    </xf>
    <xf numFmtId="199" fontId="48" fillId="0" borderId="0" xfId="0" applyNumberFormat="1" applyFont="1" applyAlignment="1">
      <alignment horizontal="center"/>
    </xf>
    <xf numFmtId="194" fontId="47" fillId="0" borderId="0" xfId="187" applyNumberFormat="1" applyFont="1" applyFill="1"/>
    <xf numFmtId="3" fontId="46" fillId="0" borderId="0" xfId="186" applyNumberFormat="1" applyFont="1"/>
    <xf numFmtId="3" fontId="45" fillId="0" borderId="0" xfId="0" applyNumberFormat="1" applyFont="1" applyAlignment="1">
      <alignment vertical="center"/>
    </xf>
    <xf numFmtId="200" fontId="46" fillId="0" borderId="0" xfId="0" applyNumberFormat="1" applyFont="1" applyAlignment="1">
      <alignment vertical="center"/>
    </xf>
    <xf numFmtId="170" fontId="46" fillId="0" borderId="0" xfId="0" applyNumberFormat="1" applyFont="1" applyAlignment="1">
      <alignment vertical="center"/>
    </xf>
    <xf numFmtId="9" fontId="46" fillId="0" borderId="0" xfId="132" applyFont="1" applyBorder="1"/>
    <xf numFmtId="170" fontId="50" fillId="0" borderId="0" xfId="184" applyNumberFormat="1" applyFont="1" applyAlignment="1">
      <alignment vertical="center"/>
    </xf>
    <xf numFmtId="0" fontId="47" fillId="0" borderId="0" xfId="0" applyFont="1" applyAlignment="1">
      <alignment horizontal="right"/>
    </xf>
    <xf numFmtId="9" fontId="47" fillId="0" borderId="0" xfId="0" applyNumberFormat="1" applyFont="1" applyAlignment="1">
      <alignment horizontal="right"/>
    </xf>
    <xf numFmtId="0" fontId="54" fillId="0" borderId="0" xfId="0" applyFont="1" applyAlignment="1">
      <alignment horizontal="right"/>
    </xf>
    <xf numFmtId="3" fontId="47" fillId="0" borderId="0" xfId="184" applyNumberFormat="1" applyFont="1" applyAlignment="1">
      <alignment horizontal="left" vertical="center"/>
    </xf>
    <xf numFmtId="171" fontId="46" fillId="0" borderId="0" xfId="0" applyNumberFormat="1" applyFont="1" applyAlignment="1">
      <alignment vertical="center"/>
    </xf>
    <xf numFmtId="0" fontId="61" fillId="0" borderId="0" xfId="184" applyFont="1" applyAlignment="1">
      <alignment horizontal="left" vertical="center"/>
    </xf>
    <xf numFmtId="1" fontId="106" fillId="0" borderId="0" xfId="0" applyNumberFormat="1" applyFont="1" applyAlignment="1">
      <alignment vertical="center"/>
    </xf>
    <xf numFmtId="4" fontId="46" fillId="0" borderId="0" xfId="186" applyNumberFormat="1" applyFont="1"/>
    <xf numFmtId="1" fontId="55" fillId="0" borderId="0" xfId="0" applyNumberFormat="1" applyFont="1" applyAlignment="1">
      <alignment horizontal="left" vertical="top" wrapText="1"/>
    </xf>
    <xf numFmtId="3" fontId="47" fillId="0" borderId="0" xfId="0" applyNumberFormat="1" applyFont="1"/>
    <xf numFmtId="1" fontId="45" fillId="0" borderId="0" xfId="186" applyNumberFormat="1" applyFont="1"/>
    <xf numFmtId="1" fontId="46" fillId="0" borderId="0" xfId="186" applyNumberFormat="1" applyFont="1"/>
    <xf numFmtId="195" fontId="56" fillId="0" borderId="0" xfId="184" applyNumberFormat="1" applyFont="1"/>
    <xf numFmtId="196" fontId="56" fillId="0" borderId="0" xfId="184" applyNumberFormat="1" applyFont="1"/>
    <xf numFmtId="199" fontId="46" fillId="0" borderId="0" xfId="0" applyNumberFormat="1" applyFont="1" applyAlignment="1">
      <alignment vertical="center"/>
    </xf>
    <xf numFmtId="194" fontId="46" fillId="0" borderId="0" xfId="187" applyNumberFormat="1" applyFont="1" applyBorder="1" applyAlignment="1">
      <alignment vertical="center"/>
    </xf>
    <xf numFmtId="194" fontId="46" fillId="0" borderId="0" xfId="0" applyNumberFormat="1" applyFont="1" applyAlignment="1">
      <alignment vertical="center"/>
    </xf>
    <xf numFmtId="3" fontId="56" fillId="0" borderId="0" xfId="184" applyNumberFormat="1" applyFont="1" applyAlignment="1">
      <alignment vertical="center"/>
    </xf>
    <xf numFmtId="9" fontId="106" fillId="0" borderId="0" xfId="132" applyFont="1" applyAlignment="1" applyProtection="1">
      <alignment vertical="center"/>
    </xf>
    <xf numFmtId="9" fontId="56" fillId="0" borderId="0" xfId="132" applyFont="1" applyFill="1" applyAlignment="1" applyProtection="1">
      <alignment vertical="center"/>
    </xf>
    <xf numFmtId="194" fontId="46" fillId="0" borderId="0" xfId="187" applyNumberFormat="1" applyFont="1" applyBorder="1"/>
    <xf numFmtId="43" fontId="46" fillId="0" borderId="0" xfId="186" applyNumberFormat="1" applyFont="1"/>
    <xf numFmtId="170" fontId="46" fillId="0" borderId="0" xfId="186" applyNumberFormat="1" applyFont="1"/>
    <xf numFmtId="9" fontId="106" fillId="0" borderId="0" xfId="132" applyFont="1" applyProtection="1"/>
    <xf numFmtId="194" fontId="45" fillId="0" borderId="0" xfId="187" applyNumberFormat="1" applyFont="1" applyFill="1" applyBorder="1" applyAlignment="1"/>
    <xf numFmtId="201" fontId="45" fillId="0" borderId="0" xfId="187" applyNumberFormat="1" applyFont="1" applyFill="1" applyBorder="1" applyAlignment="1"/>
    <xf numFmtId="43" fontId="45" fillId="0" borderId="0" xfId="0" applyNumberFormat="1" applyFont="1"/>
    <xf numFmtId="3" fontId="61" fillId="0" borderId="0" xfId="184" applyNumberFormat="1" applyFont="1" applyAlignment="1">
      <alignment horizontal="left" vertical="center"/>
    </xf>
    <xf numFmtId="3" fontId="54" fillId="0" borderId="0" xfId="0" applyNumberFormat="1" applyFont="1"/>
    <xf numFmtId="0" fontId="60" fillId="0" borderId="0" xfId="0" applyFont="1" applyAlignment="1">
      <alignment horizontal="left" vertical="top"/>
    </xf>
    <xf numFmtId="0" fontId="107" fillId="0" borderId="0" xfId="186" applyFont="1"/>
    <xf numFmtId="0" fontId="108" fillId="0" borderId="0" xfId="186" applyFont="1"/>
    <xf numFmtId="0" fontId="108" fillId="0" borderId="0" xfId="184" applyFont="1"/>
    <xf numFmtId="0" fontId="109" fillId="0" borderId="0" xfId="186" applyFont="1"/>
    <xf numFmtId="3" fontId="109" fillId="0" borderId="0" xfId="186" applyNumberFormat="1" applyFont="1"/>
    <xf numFmtId="0" fontId="108" fillId="0" borderId="0" xfId="184" applyFont="1" applyAlignment="1">
      <alignment horizontal="left" vertical="center"/>
    </xf>
    <xf numFmtId="9" fontId="110" fillId="0" borderId="0" xfId="132" applyFont="1" applyProtection="1"/>
    <xf numFmtId="3" fontId="62" fillId="0" borderId="0" xfId="0" applyNumberFormat="1" applyFont="1" applyAlignment="1">
      <alignment horizontal="center" vertical="center" wrapText="1"/>
    </xf>
    <xf numFmtId="1" fontId="47" fillId="0" borderId="0" xfId="0" applyNumberFormat="1" applyFont="1"/>
    <xf numFmtId="170" fontId="111" fillId="34" borderId="0" xfId="0" applyNumberFormat="1" applyFont="1" applyFill="1"/>
    <xf numFmtId="9" fontId="46" fillId="0" borderId="0" xfId="132" applyFont="1" applyAlignment="1">
      <alignment vertical="center"/>
    </xf>
    <xf numFmtId="196" fontId="56" fillId="0" borderId="0" xfId="184" applyNumberFormat="1" applyFont="1" applyAlignment="1">
      <alignment horizontal="center"/>
    </xf>
    <xf numFmtId="174" fontId="56" fillId="0" borderId="0" xfId="184" applyNumberFormat="1" applyFont="1" applyAlignment="1">
      <alignment horizontal="center"/>
    </xf>
    <xf numFmtId="0" fontId="114" fillId="0" borderId="0" xfId="68" applyFont="1"/>
    <xf numFmtId="0" fontId="115" fillId="0" borderId="0" xfId="68" applyFont="1"/>
    <xf numFmtId="0" fontId="116" fillId="0" borderId="0" xfId="68" applyFont="1"/>
    <xf numFmtId="0" fontId="117" fillId="0" borderId="0" xfId="39" applyFont="1" applyAlignment="1" applyProtection="1"/>
    <xf numFmtId="0" fontId="117" fillId="0" borderId="0" xfId="34" applyFont="1" applyAlignment="1" applyProtection="1"/>
    <xf numFmtId="0" fontId="117" fillId="0" borderId="0" xfId="34" applyFont="1" applyAlignment="1" applyProtection="1">
      <alignment horizontal="right"/>
    </xf>
    <xf numFmtId="0" fontId="117" fillId="0" borderId="0" xfId="39" applyFont="1" applyAlignment="1" applyProtection="1">
      <alignment horizontal="right"/>
    </xf>
    <xf numFmtId="0" fontId="118" fillId="0" borderId="0" xfId="68" applyFont="1" applyAlignment="1">
      <alignment horizontal="left" indent="2"/>
    </xf>
    <xf numFmtId="0" fontId="119" fillId="0" borderId="0" xfId="34" applyFont="1" applyAlignment="1" applyProtection="1">
      <alignment horizontal="right"/>
    </xf>
    <xf numFmtId="0" fontId="118" fillId="0" borderId="0" xfId="184" applyFont="1" applyAlignment="1">
      <alignment horizontal="left" indent="2"/>
    </xf>
    <xf numFmtId="0" fontId="119" fillId="0" borderId="0" xfId="34" applyFont="1" applyAlignment="1" applyProtection="1"/>
    <xf numFmtId="0" fontId="120" fillId="0" borderId="0" xfId="68" applyFont="1"/>
    <xf numFmtId="0" fontId="119" fillId="0" borderId="0" xfId="39" applyFont="1" applyAlignment="1" applyProtection="1"/>
    <xf numFmtId="0" fontId="121" fillId="0" borderId="0" xfId="0" applyFont="1" applyAlignment="1">
      <alignment vertical="center"/>
    </xf>
    <xf numFmtId="0" fontId="120" fillId="0" borderId="0" xfId="0" applyFont="1" applyAlignment="1">
      <alignment vertical="center"/>
    </xf>
    <xf numFmtId="0" fontId="117" fillId="0" borderId="0" xfId="39" applyFont="1" applyBorder="1" applyAlignment="1" applyProtection="1">
      <alignment horizontal="right" vertical="center"/>
    </xf>
    <xf numFmtId="0" fontId="119" fillId="0" borderId="0" xfId="39" applyFont="1" applyBorder="1" applyAlignment="1" applyProtection="1">
      <alignment horizontal="right" vertical="center"/>
    </xf>
    <xf numFmtId="0" fontId="114" fillId="0" borderId="0" xfId="0" applyFont="1" applyAlignment="1">
      <alignment vertical="center"/>
    </xf>
    <xf numFmtId="0" fontId="122" fillId="0" borderId="0" xfId="184" applyFont="1" applyAlignment="1">
      <alignment vertical="center"/>
    </xf>
    <xf numFmtId="0" fontId="123" fillId="0" borderId="0" xfId="184" applyFont="1" applyAlignment="1">
      <alignment vertical="center"/>
    </xf>
    <xf numFmtId="0" fontId="122" fillId="0" borderId="0" xfId="184" applyFont="1" applyAlignment="1">
      <alignment horizontal="center" vertical="center"/>
    </xf>
    <xf numFmtId="0" fontId="124" fillId="0" borderId="0" xfId="0" applyFont="1" applyAlignment="1">
      <alignment horizontal="center" vertical="center" wrapText="1"/>
    </xf>
    <xf numFmtId="0" fontId="126" fillId="0" borderId="0" xfId="0" applyFont="1" applyAlignment="1">
      <alignment vertical="center"/>
    </xf>
    <xf numFmtId="3" fontId="126" fillId="0" borderId="0" xfId="0" applyNumberFormat="1" applyFont="1" applyAlignment="1">
      <alignment vertical="center"/>
    </xf>
    <xf numFmtId="171" fontId="126" fillId="0" borderId="0" xfId="0" applyNumberFormat="1" applyFont="1" applyAlignment="1">
      <alignment vertical="center"/>
    </xf>
    <xf numFmtId="0" fontId="128" fillId="0" borderId="0" xfId="184" applyFont="1" applyAlignment="1">
      <alignment vertical="center"/>
    </xf>
    <xf numFmtId="0" fontId="120" fillId="0" borderId="0" xfId="184" applyFont="1" applyAlignment="1">
      <alignment horizontal="left" vertical="center"/>
    </xf>
    <xf numFmtId="3" fontId="120" fillId="0" borderId="0" xfId="184" applyNumberFormat="1" applyFont="1" applyAlignment="1">
      <alignment horizontal="left" vertical="center"/>
    </xf>
    <xf numFmtId="0" fontId="120" fillId="45" borderId="0" xfId="184" applyFont="1" applyFill="1" applyAlignment="1">
      <alignment horizontal="left" vertical="center"/>
    </xf>
    <xf numFmtId="1" fontId="120" fillId="0" borderId="0" xfId="184" applyNumberFormat="1" applyFont="1" applyAlignment="1">
      <alignment horizontal="left" vertical="center"/>
    </xf>
    <xf numFmtId="10" fontId="120" fillId="0" borderId="0" xfId="184" applyNumberFormat="1" applyFont="1" applyAlignment="1">
      <alignment horizontal="left" vertical="center"/>
    </xf>
    <xf numFmtId="169" fontId="126" fillId="0" borderId="0" xfId="132" applyNumberFormat="1" applyFont="1" applyFill="1" applyBorder="1" applyAlignment="1">
      <alignment horizontal="center" vertical="center"/>
    </xf>
    <xf numFmtId="0" fontId="120" fillId="34" borderId="0" xfId="0" applyFont="1" applyFill="1" applyAlignment="1">
      <alignment vertical="center"/>
    </xf>
    <xf numFmtId="0" fontId="128" fillId="34" borderId="0" xfId="0" applyFont="1" applyFill="1" applyAlignment="1">
      <alignment horizontal="left" vertical="center" wrapText="1"/>
    </xf>
    <xf numFmtId="0" fontId="122" fillId="0" borderId="0" xfId="68" applyFont="1" applyAlignment="1">
      <alignment vertical="center" textRotation="90"/>
    </xf>
    <xf numFmtId="0" fontId="120" fillId="46" borderId="0" xfId="68" applyFont="1" applyFill="1"/>
    <xf numFmtId="0" fontId="116" fillId="46" borderId="0" xfId="68" applyFont="1" applyFill="1"/>
    <xf numFmtId="0" fontId="129" fillId="0" borderId="0" xfId="68" applyFont="1" applyAlignment="1">
      <alignment vertical="center" textRotation="90"/>
    </xf>
    <xf numFmtId="0" fontId="125" fillId="0" borderId="0" xfId="68" applyFont="1" applyAlignment="1">
      <alignment vertical="center" textRotation="90"/>
    </xf>
    <xf numFmtId="0" fontId="122" fillId="46" borderId="0" xfId="68" applyFont="1" applyFill="1" applyAlignment="1">
      <alignment vertical="center" textRotation="90"/>
    </xf>
    <xf numFmtId="0" fontId="131" fillId="0" borderId="0" xfId="68" applyFont="1" applyAlignment="1">
      <alignment vertical="center"/>
    </xf>
    <xf numFmtId="0" fontId="133" fillId="0" borderId="0" xfId="0" applyFont="1" applyAlignment="1">
      <alignment vertical="center"/>
    </xf>
    <xf numFmtId="0" fontId="132" fillId="47" borderId="37" xfId="0" applyFont="1" applyFill="1" applyBorder="1" applyAlignment="1">
      <alignment horizontal="left" vertical="center"/>
    </xf>
    <xf numFmtId="0" fontId="125" fillId="47" borderId="38" xfId="0" applyFont="1" applyFill="1" applyBorder="1" applyAlignment="1">
      <alignment horizontal="center" vertical="center" wrapText="1"/>
    </xf>
    <xf numFmtId="0" fontId="115" fillId="0" borderId="39" xfId="0" applyFont="1" applyBorder="1" applyAlignment="1">
      <alignment horizontal="left" vertical="center" wrapText="1"/>
    </xf>
    <xf numFmtId="3" fontId="115" fillId="34" borderId="0" xfId="67" applyNumberFormat="1" applyFont="1" applyFill="1" applyAlignment="1">
      <alignment horizontal="center" vertical="center"/>
    </xf>
    <xf numFmtId="3" fontId="115" fillId="0" borderId="0" xfId="67" applyNumberFormat="1" applyFont="1" applyAlignment="1">
      <alignment horizontal="center" vertical="center"/>
    </xf>
    <xf numFmtId="0" fontId="125" fillId="0" borderId="39" xfId="0" applyFont="1" applyBorder="1" applyAlignment="1">
      <alignment horizontal="left" vertical="center" wrapText="1"/>
    </xf>
    <xf numFmtId="3" fontId="125" fillId="0" borderId="0" xfId="67" applyNumberFormat="1" applyFont="1" applyAlignment="1">
      <alignment horizontal="center" vertical="center"/>
    </xf>
    <xf numFmtId="3" fontId="125" fillId="34" borderId="0" xfId="67" applyNumberFormat="1" applyFont="1" applyFill="1" applyAlignment="1">
      <alignment horizontal="center" vertical="center"/>
    </xf>
    <xf numFmtId="0" fontId="125" fillId="0" borderId="40" xfId="0" applyFont="1" applyBorder="1" applyAlignment="1">
      <alignment horizontal="left" vertical="center" wrapText="1"/>
    </xf>
    <xf numFmtId="3" fontId="125" fillId="0" borderId="36" xfId="67" applyNumberFormat="1" applyFont="1" applyBorder="1" applyAlignment="1">
      <alignment horizontal="center" vertical="center"/>
    </xf>
    <xf numFmtId="3" fontId="125" fillId="34" borderId="36" xfId="67" applyNumberFormat="1" applyFont="1" applyFill="1" applyBorder="1" applyAlignment="1">
      <alignment horizontal="center" vertical="center"/>
    </xf>
    <xf numFmtId="169" fontId="125" fillId="0" borderId="0" xfId="132" applyNumberFormat="1" applyFont="1" applyFill="1" applyBorder="1" applyAlignment="1">
      <alignment horizontal="center" vertical="center"/>
    </xf>
    <xf numFmtId="169" fontId="125" fillId="34" borderId="0" xfId="132" applyNumberFormat="1" applyFont="1" applyFill="1" applyBorder="1" applyAlignment="1">
      <alignment horizontal="center" vertical="center"/>
    </xf>
    <xf numFmtId="10" fontId="125" fillId="0" borderId="0" xfId="187" applyNumberFormat="1" applyFont="1" applyFill="1" applyBorder="1" applyAlignment="1">
      <alignment horizontal="center" vertical="center"/>
    </xf>
    <xf numFmtId="10" fontId="125" fillId="34" borderId="0" xfId="187" applyNumberFormat="1" applyFont="1" applyFill="1" applyBorder="1" applyAlignment="1">
      <alignment horizontal="center" vertical="center"/>
    </xf>
    <xf numFmtId="9" fontId="125" fillId="0" borderId="0" xfId="132" applyFont="1" applyFill="1" applyBorder="1" applyAlignment="1">
      <alignment horizontal="center" vertical="center"/>
    </xf>
    <xf numFmtId="9" fontId="125" fillId="34" borderId="0" xfId="187" applyNumberFormat="1" applyFont="1" applyFill="1" applyBorder="1" applyAlignment="1">
      <alignment horizontal="center" vertical="center"/>
    </xf>
    <xf numFmtId="9" fontId="125" fillId="0" borderId="0" xfId="187" applyNumberFormat="1" applyFont="1" applyFill="1" applyBorder="1" applyAlignment="1">
      <alignment horizontal="center" vertical="center"/>
    </xf>
    <xf numFmtId="169" fontId="125" fillId="34" borderId="0" xfId="187" applyNumberFormat="1" applyFont="1" applyFill="1" applyBorder="1" applyAlignment="1">
      <alignment horizontal="center" vertical="center"/>
    </xf>
    <xf numFmtId="169" fontId="125" fillId="0" borderId="0" xfId="187" applyNumberFormat="1" applyFont="1" applyFill="1" applyBorder="1" applyAlignment="1">
      <alignment horizontal="center" vertical="center"/>
    </xf>
    <xf numFmtId="10" fontId="125" fillId="0" borderId="0" xfId="132" applyNumberFormat="1" applyFont="1" applyFill="1" applyBorder="1" applyAlignment="1">
      <alignment horizontal="center" vertical="center"/>
    </xf>
    <xf numFmtId="9" fontId="125" fillId="34" borderId="0" xfId="132" applyFont="1" applyFill="1" applyBorder="1" applyAlignment="1">
      <alignment horizontal="center" vertical="center"/>
    </xf>
    <xf numFmtId="10" fontId="125" fillId="34" borderId="0" xfId="132" applyNumberFormat="1" applyFont="1" applyFill="1" applyBorder="1" applyAlignment="1">
      <alignment horizontal="center" vertical="center"/>
    </xf>
    <xf numFmtId="0" fontId="114" fillId="34" borderId="0" xfId="0" applyFont="1" applyFill="1" applyAlignment="1">
      <alignment vertical="center"/>
    </xf>
    <xf numFmtId="0" fontId="114" fillId="34" borderId="0" xfId="0" applyFont="1" applyFill="1" applyAlignment="1">
      <alignment horizontal="left" vertical="center" wrapText="1"/>
    </xf>
    <xf numFmtId="2" fontId="125" fillId="0" borderId="0" xfId="0" applyNumberFormat="1" applyFont="1" applyAlignment="1">
      <alignment horizontal="center" vertical="center"/>
    </xf>
    <xf numFmtId="2" fontId="125" fillId="34" borderId="0" xfId="0" applyNumberFormat="1" applyFont="1" applyFill="1" applyAlignment="1">
      <alignment horizontal="center" vertical="center"/>
    </xf>
    <xf numFmtId="0" fontId="125" fillId="34" borderId="41" xfId="0" applyFont="1" applyFill="1" applyBorder="1" applyAlignment="1">
      <alignment horizontal="left" vertical="center" wrapText="1"/>
    </xf>
    <xf numFmtId="169" fontId="125" fillId="34" borderId="42" xfId="132" applyNumberFormat="1" applyFont="1" applyFill="1" applyBorder="1" applyAlignment="1">
      <alignment horizontal="center" vertical="center"/>
    </xf>
    <xf numFmtId="169" fontId="125" fillId="0" borderId="42" xfId="132" applyNumberFormat="1" applyFont="1" applyFill="1" applyBorder="1" applyAlignment="1">
      <alignment horizontal="center" vertical="center"/>
    </xf>
    <xf numFmtId="0" fontId="125" fillId="0" borderId="41" xfId="0" applyFont="1" applyBorder="1" applyAlignment="1">
      <alignment horizontal="left" vertical="center" wrapText="1"/>
    </xf>
    <xf numFmtId="3" fontId="125" fillId="0" borderId="42" xfId="67" applyNumberFormat="1" applyFont="1" applyBorder="1" applyAlignment="1">
      <alignment horizontal="center" vertical="center"/>
    </xf>
    <xf numFmtId="3" fontId="125" fillId="34" borderId="42" xfId="67" applyNumberFormat="1" applyFont="1" applyFill="1" applyBorder="1" applyAlignment="1">
      <alignment horizontal="center" vertical="center"/>
    </xf>
    <xf numFmtId="0" fontId="125" fillId="0" borderId="37" xfId="0" applyFont="1" applyBorder="1" applyAlignment="1">
      <alignment horizontal="left" vertical="center" wrapText="1"/>
    </xf>
    <xf numFmtId="3" fontId="125" fillId="0" borderId="38" xfId="67" applyNumberFormat="1" applyFont="1" applyBorder="1" applyAlignment="1">
      <alignment horizontal="center" vertical="center"/>
    </xf>
    <xf numFmtId="3" fontId="125" fillId="34" borderId="38" xfId="67" applyNumberFormat="1" applyFont="1" applyFill="1" applyBorder="1" applyAlignment="1">
      <alignment horizontal="center" vertical="center"/>
    </xf>
    <xf numFmtId="3" fontId="125" fillId="0" borderId="42" xfId="0" applyNumberFormat="1" applyFont="1" applyBorder="1" applyAlignment="1">
      <alignment horizontal="center" vertical="center"/>
    </xf>
    <xf numFmtId="3" fontId="125" fillId="34" borderId="42" xfId="0" applyNumberFormat="1" applyFont="1" applyFill="1" applyBorder="1" applyAlignment="1">
      <alignment horizontal="center" vertical="center"/>
    </xf>
    <xf numFmtId="173" fontId="125" fillId="47" borderId="38" xfId="0" applyNumberFormat="1" applyFont="1" applyFill="1" applyBorder="1" applyAlignment="1">
      <alignment horizontal="center" vertical="center" wrapText="1"/>
    </xf>
    <xf numFmtId="0" fontId="125" fillId="47" borderId="44" xfId="0" applyFont="1" applyFill="1" applyBorder="1" applyAlignment="1">
      <alignment horizontal="center" vertical="center" wrapText="1"/>
    </xf>
    <xf numFmtId="0" fontId="125" fillId="47" borderId="47" xfId="0" applyFont="1" applyFill="1" applyBorder="1" applyAlignment="1">
      <alignment horizontal="center" vertical="center" wrapText="1"/>
    </xf>
    <xf numFmtId="173" fontId="125" fillId="47" borderId="44" xfId="0" applyNumberFormat="1" applyFont="1" applyFill="1" applyBorder="1" applyAlignment="1">
      <alignment horizontal="center" vertical="center" wrapText="1"/>
    </xf>
    <xf numFmtId="173" fontId="125" fillId="47" borderId="47" xfId="0" applyNumberFormat="1" applyFont="1" applyFill="1" applyBorder="1" applyAlignment="1">
      <alignment horizontal="center" vertical="center" wrapText="1"/>
    </xf>
    <xf numFmtId="0" fontId="115" fillId="0" borderId="37" xfId="0" applyFont="1" applyBorder="1" applyAlignment="1">
      <alignment horizontal="left" vertical="center" wrapText="1"/>
    </xf>
    <xf numFmtId="3" fontId="115" fillId="34" borderId="38" xfId="67" applyNumberFormat="1" applyFont="1" applyFill="1" applyBorder="1" applyAlignment="1">
      <alignment horizontal="center" vertical="center"/>
    </xf>
    <xf numFmtId="3" fontId="115" fillId="0" borderId="38" xfId="67" applyNumberFormat="1" applyFont="1" applyBorder="1" applyAlignment="1">
      <alignment horizontal="center" vertical="center"/>
    </xf>
    <xf numFmtId="0" fontId="115" fillId="0" borderId="41" xfId="0" applyFont="1" applyBorder="1" applyAlignment="1">
      <alignment horizontal="left" vertical="center" wrapText="1"/>
    </xf>
    <xf numFmtId="3" fontId="115" fillId="34" borderId="42" xfId="67" applyNumberFormat="1" applyFont="1" applyFill="1" applyBorder="1" applyAlignment="1">
      <alignment horizontal="center" vertical="center"/>
    </xf>
    <xf numFmtId="3" fontId="115" fillId="0" borderId="42" xfId="67" applyNumberFormat="1" applyFont="1" applyBorder="1" applyAlignment="1">
      <alignment horizontal="center" vertical="center"/>
    </xf>
    <xf numFmtId="0" fontId="125" fillId="0" borderId="51" xfId="0" applyFont="1" applyBorder="1" applyAlignment="1">
      <alignment horizontal="left" vertical="center" wrapText="1"/>
    </xf>
    <xf numFmtId="3" fontId="125" fillId="0" borderId="52" xfId="0" applyNumberFormat="1" applyFont="1" applyBorder="1" applyAlignment="1">
      <alignment horizontal="center" vertical="center"/>
    </xf>
    <xf numFmtId="3" fontId="125" fillId="34" borderId="52" xfId="0" applyNumberFormat="1" applyFont="1" applyFill="1" applyBorder="1" applyAlignment="1">
      <alignment horizontal="center" vertical="center"/>
    </xf>
    <xf numFmtId="0" fontId="115" fillId="0" borderId="51" xfId="0" applyFont="1" applyBorder="1" applyAlignment="1">
      <alignment horizontal="left" vertical="center" wrapText="1"/>
    </xf>
    <xf numFmtId="3" fontId="115" fillId="34" borderId="52" xfId="0" applyNumberFormat="1" applyFont="1" applyFill="1" applyBorder="1" applyAlignment="1">
      <alignment horizontal="center" vertical="center"/>
    </xf>
    <xf numFmtId="3" fontId="115" fillId="0" borderId="52" xfId="0" applyNumberFormat="1" applyFont="1" applyBorder="1" applyAlignment="1">
      <alignment horizontal="center" vertical="center"/>
    </xf>
    <xf numFmtId="0" fontId="115" fillId="34" borderId="51" xfId="0" applyFont="1" applyFill="1" applyBorder="1" applyAlignment="1">
      <alignment horizontal="left" vertical="center" wrapText="1"/>
    </xf>
    <xf numFmtId="0" fontId="125" fillId="34" borderId="51" xfId="0" applyFont="1" applyFill="1" applyBorder="1" applyAlignment="1">
      <alignment horizontal="left" vertical="center" wrapText="1"/>
    </xf>
    <xf numFmtId="0" fontId="125" fillId="0" borderId="54" xfId="0" applyFont="1" applyBorder="1" applyAlignment="1">
      <alignment horizontal="left" vertical="center" wrapText="1"/>
    </xf>
    <xf numFmtId="10" fontId="125" fillId="0" borderId="55" xfId="132" applyNumberFormat="1" applyFont="1" applyFill="1" applyBorder="1" applyAlignment="1">
      <alignment horizontal="center" vertical="center"/>
    </xf>
    <xf numFmtId="10" fontId="125" fillId="34" borderId="55" xfId="132" applyNumberFormat="1" applyFont="1" applyFill="1" applyBorder="1" applyAlignment="1">
      <alignment horizontal="center" vertical="center"/>
    </xf>
    <xf numFmtId="1" fontId="49" fillId="34" borderId="0" xfId="0" applyNumberFormat="1" applyFont="1" applyFill="1" applyAlignment="1">
      <alignment horizontal="center" vertical="center" wrapText="1"/>
    </xf>
    <xf numFmtId="3" fontId="115" fillId="48" borderId="45" xfId="67" applyNumberFormat="1" applyFont="1" applyFill="1" applyBorder="1" applyAlignment="1">
      <alignment horizontal="center" vertical="center"/>
    </xf>
    <xf numFmtId="3" fontId="125" fillId="48" borderId="45" xfId="67" applyNumberFormat="1" applyFont="1" applyFill="1" applyBorder="1" applyAlignment="1">
      <alignment horizontal="center" vertical="center"/>
    </xf>
    <xf numFmtId="3" fontId="125" fillId="48" borderId="49" xfId="0" applyNumberFormat="1" applyFont="1" applyFill="1" applyBorder="1" applyAlignment="1">
      <alignment horizontal="center" vertical="center"/>
    </xf>
    <xf numFmtId="3" fontId="125" fillId="48" borderId="49" xfId="67" applyNumberFormat="1" applyFont="1" applyFill="1" applyBorder="1" applyAlignment="1">
      <alignment horizontal="center" vertical="center"/>
    </xf>
    <xf numFmtId="2" fontId="125" fillId="48" borderId="0" xfId="0" applyNumberFormat="1" applyFont="1" applyFill="1" applyAlignment="1">
      <alignment horizontal="center" vertical="center"/>
    </xf>
    <xf numFmtId="169" fontId="125" fillId="48" borderId="45" xfId="132" applyNumberFormat="1" applyFont="1" applyFill="1" applyBorder="1" applyAlignment="1">
      <alignment horizontal="center" vertical="center"/>
    </xf>
    <xf numFmtId="9" fontId="125" fillId="48" borderId="45" xfId="132" applyFont="1" applyFill="1" applyBorder="1" applyAlignment="1">
      <alignment horizontal="center" vertical="center"/>
    </xf>
    <xf numFmtId="169" fontId="125" fillId="48" borderId="49" xfId="132" applyNumberFormat="1" applyFont="1" applyFill="1" applyBorder="1" applyAlignment="1">
      <alignment horizontal="center" vertical="center"/>
    </xf>
    <xf numFmtId="3" fontId="115" fillId="34" borderId="31" xfId="67" applyNumberFormat="1" applyFont="1" applyFill="1" applyBorder="1" applyAlignment="1">
      <alignment horizontal="center" vertical="center"/>
    </xf>
    <xf numFmtId="3" fontId="133" fillId="34" borderId="31" xfId="67" applyNumberFormat="1" applyFont="1" applyFill="1" applyBorder="1" applyAlignment="1">
      <alignment horizontal="center" vertical="center"/>
    </xf>
    <xf numFmtId="3" fontId="115" fillId="0" borderId="30" xfId="67" applyNumberFormat="1" applyFont="1" applyBorder="1" applyAlignment="1">
      <alignment horizontal="center" vertical="center"/>
    </xf>
    <xf numFmtId="3" fontId="115" fillId="34" borderId="0" xfId="0" applyNumberFormat="1" applyFont="1" applyFill="1" applyAlignment="1">
      <alignment horizontal="center" vertical="center"/>
    </xf>
    <xf numFmtId="0" fontId="140" fillId="47" borderId="31" xfId="0" applyFont="1" applyFill="1" applyBorder="1" applyAlignment="1">
      <alignment horizontal="left" vertical="center" wrapText="1"/>
    </xf>
    <xf numFmtId="1" fontId="113" fillId="34" borderId="0" xfId="0" applyNumberFormat="1" applyFont="1" applyFill="1" applyAlignment="1">
      <alignment vertical="center"/>
    </xf>
    <xf numFmtId="0" fontId="49" fillId="34" borderId="0" xfId="0" applyFont="1" applyFill="1" applyAlignment="1">
      <alignment horizontal="left" vertical="center" wrapText="1"/>
    </xf>
    <xf numFmtId="2" fontId="49" fillId="34" borderId="0" xfId="0" applyNumberFormat="1" applyFont="1" applyFill="1" applyAlignment="1">
      <alignment horizontal="center" vertical="center" wrapText="1"/>
    </xf>
    <xf numFmtId="0" fontId="115" fillId="0" borderId="59" xfId="0" applyFont="1" applyBorder="1" applyAlignment="1">
      <alignment horizontal="left" vertical="center" wrapText="1"/>
    </xf>
    <xf numFmtId="0" fontId="115" fillId="0" borderId="61" xfId="0" applyFont="1" applyBorder="1" applyAlignment="1">
      <alignment horizontal="left" vertical="center" wrapText="1"/>
    </xf>
    <xf numFmtId="0" fontId="125" fillId="48" borderId="39" xfId="0" applyFont="1" applyFill="1" applyBorder="1" applyAlignment="1">
      <alignment horizontal="left" vertical="center" wrapText="1"/>
    </xf>
    <xf numFmtId="3" fontId="115" fillId="0" borderId="0" xfId="0" applyNumberFormat="1" applyFont="1" applyAlignment="1">
      <alignment horizontal="center" vertical="center"/>
    </xf>
    <xf numFmtId="0" fontId="49" fillId="34" borderId="39" xfId="0" applyFont="1" applyFill="1" applyBorder="1" applyAlignment="1">
      <alignment horizontal="left" vertical="center" wrapText="1"/>
    </xf>
    <xf numFmtId="1" fontId="49" fillId="34" borderId="45" xfId="0" applyNumberFormat="1" applyFont="1" applyFill="1" applyBorder="1" applyAlignment="1">
      <alignment horizontal="center" vertical="center" wrapText="1"/>
    </xf>
    <xf numFmtId="0" fontId="105" fillId="34" borderId="39" xfId="0" applyFont="1" applyFill="1" applyBorder="1" applyAlignment="1">
      <alignment horizontal="left" vertical="center" wrapText="1"/>
    </xf>
    <xf numFmtId="1" fontId="105" fillId="34" borderId="0" xfId="0" applyNumberFormat="1" applyFont="1" applyFill="1" applyAlignment="1">
      <alignment horizontal="center" vertical="center" wrapText="1"/>
    </xf>
    <xf numFmtId="3" fontId="115" fillId="51" borderId="60" xfId="67" applyNumberFormat="1" applyFont="1" applyFill="1" applyBorder="1" applyAlignment="1">
      <alignment horizontal="center" vertical="center"/>
    </xf>
    <xf numFmtId="3" fontId="115" fillId="51" borderId="45" xfId="67" applyNumberFormat="1" applyFont="1" applyFill="1" applyBorder="1" applyAlignment="1">
      <alignment horizontal="center" vertical="center"/>
    </xf>
    <xf numFmtId="3" fontId="133" fillId="51" borderId="45" xfId="67" applyNumberFormat="1" applyFont="1" applyFill="1" applyBorder="1" applyAlignment="1">
      <alignment horizontal="center" vertical="center"/>
    </xf>
    <xf numFmtId="3" fontId="115" fillId="51" borderId="45" xfId="0" applyNumberFormat="1" applyFont="1" applyFill="1" applyBorder="1" applyAlignment="1">
      <alignment horizontal="center" vertical="center"/>
    </xf>
    <xf numFmtId="0" fontId="115" fillId="49" borderId="39" xfId="0" applyFont="1" applyFill="1" applyBorder="1" applyAlignment="1">
      <alignment horizontal="left" vertical="center" wrapText="1"/>
    </xf>
    <xf numFmtId="1" fontId="115" fillId="49" borderId="0" xfId="0" applyNumberFormat="1" applyFont="1" applyFill="1" applyAlignment="1">
      <alignment horizontal="center" vertical="center" wrapText="1"/>
    </xf>
    <xf numFmtId="3" fontId="115" fillId="34" borderId="30" xfId="0" applyNumberFormat="1" applyFont="1" applyFill="1" applyBorder="1" applyAlignment="1">
      <alignment horizontal="center" vertical="center"/>
    </xf>
    <xf numFmtId="3" fontId="115" fillId="0" borderId="30" xfId="0" applyNumberFormat="1" applyFont="1" applyBorder="1" applyAlignment="1">
      <alignment horizontal="center" vertical="center"/>
    </xf>
    <xf numFmtId="3" fontId="115" fillId="51" borderId="62" xfId="0" applyNumberFormat="1" applyFont="1" applyFill="1" applyBorder="1" applyAlignment="1">
      <alignment horizontal="center" vertical="center"/>
    </xf>
    <xf numFmtId="0" fontId="115" fillId="34" borderId="30" xfId="0" applyFont="1" applyFill="1" applyBorder="1" applyAlignment="1">
      <alignment horizontal="center" vertical="center"/>
    </xf>
    <xf numFmtId="0" fontId="115" fillId="0" borderId="63" xfId="0" applyFont="1" applyBorder="1" applyAlignment="1">
      <alignment horizontal="left" vertical="center" wrapText="1"/>
    </xf>
    <xf numFmtId="2" fontId="141" fillId="49" borderId="42" xfId="0" applyNumberFormat="1" applyFont="1" applyFill="1" applyBorder="1" applyAlignment="1">
      <alignment horizontal="center" vertical="center" wrapText="1"/>
    </xf>
    <xf numFmtId="2" fontId="141" fillId="49" borderId="49" xfId="0" applyNumberFormat="1" applyFont="1" applyFill="1" applyBorder="1" applyAlignment="1">
      <alignment horizontal="center" vertical="center" wrapText="1"/>
    </xf>
    <xf numFmtId="0" fontId="141" fillId="49" borderId="41" xfId="0" applyFont="1" applyFill="1" applyBorder="1" applyAlignment="1">
      <alignment horizontal="left" vertical="center" wrapText="1"/>
    </xf>
    <xf numFmtId="0" fontId="115" fillId="49" borderId="64" xfId="0" applyFont="1" applyFill="1" applyBorder="1" applyAlignment="1">
      <alignment horizontal="left" vertical="center" wrapText="1"/>
    </xf>
    <xf numFmtId="1" fontId="115" fillId="49" borderId="65" xfId="0" applyNumberFormat="1" applyFont="1" applyFill="1" applyBorder="1" applyAlignment="1">
      <alignment horizontal="center" vertical="center" wrapText="1"/>
    </xf>
    <xf numFmtId="1" fontId="115" fillId="49" borderId="66" xfId="0" applyNumberFormat="1" applyFont="1" applyFill="1" applyBorder="1" applyAlignment="1">
      <alignment horizontal="center" vertical="center" wrapText="1"/>
    </xf>
    <xf numFmtId="0" fontId="141" fillId="49" borderId="67" xfId="0" applyFont="1" applyFill="1" applyBorder="1" applyAlignment="1">
      <alignment horizontal="left" vertical="center" wrapText="1"/>
    </xf>
    <xf numFmtId="2" fontId="141" fillId="49" borderId="68" xfId="0" applyNumberFormat="1" applyFont="1" applyFill="1" applyBorder="1" applyAlignment="1">
      <alignment horizontal="center" vertical="center" wrapText="1"/>
    </xf>
    <xf numFmtId="1" fontId="105" fillId="34" borderId="45" xfId="0" applyNumberFormat="1" applyFont="1" applyFill="1" applyBorder="1" applyAlignment="1">
      <alignment horizontal="center" vertical="center" wrapText="1"/>
    </xf>
    <xf numFmtId="0" fontId="115" fillId="34" borderId="0" xfId="0" applyFont="1" applyFill="1" applyAlignment="1">
      <alignment vertical="center"/>
    </xf>
    <xf numFmtId="3" fontId="115" fillId="34" borderId="0" xfId="0" applyNumberFormat="1" applyFont="1" applyFill="1" applyAlignment="1">
      <alignment horizontal="center"/>
    </xf>
    <xf numFmtId="0" fontId="125" fillId="34" borderId="0" xfId="0" applyFont="1" applyFill="1" applyAlignment="1">
      <alignment vertical="center"/>
    </xf>
    <xf numFmtId="3" fontId="125" fillId="47" borderId="0" xfId="0" applyNumberFormat="1" applyFont="1" applyFill="1" applyAlignment="1">
      <alignment horizontal="center" vertical="center"/>
    </xf>
    <xf numFmtId="3" fontId="125" fillId="34" borderId="0" xfId="0" applyNumberFormat="1" applyFont="1" applyFill="1" applyAlignment="1">
      <alignment horizontal="center"/>
    </xf>
    <xf numFmtId="3" fontId="125" fillId="34" borderId="0" xfId="0" applyNumberFormat="1" applyFont="1" applyFill="1" applyAlignment="1">
      <alignment vertical="center"/>
    </xf>
    <xf numFmtId="0" fontId="115" fillId="0" borderId="0" xfId="0" applyFont="1" applyAlignment="1">
      <alignment vertical="center"/>
    </xf>
    <xf numFmtId="3" fontId="125" fillId="50" borderId="0" xfId="0" applyNumberFormat="1" applyFont="1" applyFill="1" applyAlignment="1">
      <alignment horizontal="center" vertical="center"/>
    </xf>
    <xf numFmtId="0" fontId="133" fillId="47" borderId="37" xfId="0" applyFont="1" applyFill="1" applyBorder="1" applyAlignment="1">
      <alignment vertical="center"/>
    </xf>
    <xf numFmtId="0" fontId="125" fillId="0" borderId="39" xfId="0" applyFont="1" applyBorder="1" applyAlignment="1">
      <alignment vertical="center"/>
    </xf>
    <xf numFmtId="3" fontId="115" fillId="0" borderId="0" xfId="0" applyNumberFormat="1" applyFont="1" applyAlignment="1">
      <alignment horizontal="center"/>
    </xf>
    <xf numFmtId="3" fontId="115" fillId="35" borderId="45" xfId="0" applyNumberFormat="1" applyFont="1" applyFill="1" applyBorder="1" applyAlignment="1">
      <alignment horizontal="center"/>
    </xf>
    <xf numFmtId="0" fontId="115" fillId="0" borderId="39" xfId="0" applyFont="1" applyBorder="1" applyAlignment="1">
      <alignment horizontal="left" vertical="center" indent="1"/>
    </xf>
    <xf numFmtId="0" fontId="115" fillId="0" borderId="39" xfId="0" applyFont="1" applyBorder="1" applyAlignment="1">
      <alignment horizontal="left" vertical="center" wrapText="1" indent="1"/>
    </xf>
    <xf numFmtId="0" fontId="125" fillId="47" borderId="39" xfId="0" applyFont="1" applyFill="1" applyBorder="1" applyAlignment="1">
      <alignment horizontal="left" vertical="center" wrapText="1" indent="1"/>
    </xf>
    <xf numFmtId="3" fontId="125" fillId="47" borderId="45" xfId="0" applyNumberFormat="1" applyFont="1" applyFill="1" applyBorder="1" applyAlignment="1">
      <alignment horizontal="center" vertical="center"/>
    </xf>
    <xf numFmtId="0" fontId="125" fillId="0" borderId="39" xfId="0" applyFont="1" applyBorder="1" applyAlignment="1">
      <alignment vertical="center" wrapText="1"/>
    </xf>
    <xf numFmtId="3" fontId="125" fillId="0" borderId="0" xfId="0" applyNumberFormat="1" applyFont="1" applyAlignment="1">
      <alignment horizontal="center"/>
    </xf>
    <xf numFmtId="3" fontId="125" fillId="35" borderId="45" xfId="0" applyNumberFormat="1" applyFont="1" applyFill="1" applyBorder="1" applyAlignment="1">
      <alignment horizontal="center"/>
    </xf>
    <xf numFmtId="0" fontId="115" fillId="0" borderId="39" xfId="0" applyFont="1" applyBorder="1" applyAlignment="1">
      <alignment horizontal="left" vertical="center" indent="4"/>
    </xf>
    <xf numFmtId="3" fontId="125" fillId="50" borderId="45" xfId="0" applyNumberFormat="1" applyFont="1" applyFill="1" applyBorder="1" applyAlignment="1">
      <alignment horizontal="center" vertical="center"/>
    </xf>
    <xf numFmtId="0" fontId="125" fillId="47" borderId="41" xfId="0" applyFont="1" applyFill="1" applyBorder="1" applyAlignment="1">
      <alignment horizontal="left" vertical="center" wrapText="1" indent="1"/>
    </xf>
    <xf numFmtId="3" fontId="125" fillId="47" borderId="42" xfId="0" applyNumberFormat="1" applyFont="1" applyFill="1" applyBorder="1" applyAlignment="1">
      <alignment horizontal="center" vertical="center"/>
    </xf>
    <xf numFmtId="3" fontId="125" fillId="47" borderId="49" xfId="0" applyNumberFormat="1" applyFont="1" applyFill="1" applyBorder="1" applyAlignment="1">
      <alignment horizontal="center" vertical="center"/>
    </xf>
    <xf numFmtId="3" fontId="125" fillId="47" borderId="48" xfId="0" applyNumberFormat="1" applyFont="1" applyFill="1" applyBorder="1" applyAlignment="1">
      <alignment horizontal="center" vertical="center"/>
    </xf>
    <xf numFmtId="3" fontId="125" fillId="50" borderId="48" xfId="0" applyNumberFormat="1" applyFont="1" applyFill="1" applyBorder="1" applyAlignment="1">
      <alignment horizontal="center" vertical="center"/>
    </xf>
    <xf numFmtId="3" fontId="125" fillId="47" borderId="50" xfId="0" applyNumberFormat="1" applyFont="1" applyFill="1" applyBorder="1" applyAlignment="1">
      <alignment horizontal="center" vertical="center"/>
    </xf>
    <xf numFmtId="9" fontId="48" fillId="34" borderId="0" xfId="132" applyFont="1" applyFill="1" applyBorder="1" applyAlignment="1">
      <alignment horizontal="center"/>
    </xf>
    <xf numFmtId="199" fontId="46" fillId="34" borderId="0" xfId="0" applyNumberFormat="1" applyFont="1" applyFill="1" applyAlignment="1">
      <alignment horizontal="center" vertical="center"/>
    </xf>
    <xf numFmtId="173" fontId="125" fillId="47" borderId="69" xfId="0" applyNumberFormat="1" applyFont="1" applyFill="1" applyBorder="1" applyAlignment="1">
      <alignment horizontal="center" vertical="center"/>
    </xf>
    <xf numFmtId="3" fontId="114" fillId="0" borderId="70" xfId="0" applyNumberFormat="1" applyFont="1" applyBorder="1" applyAlignment="1">
      <alignment horizontal="center" vertical="center" wrapText="1"/>
    </xf>
    <xf numFmtId="9" fontId="115" fillId="0" borderId="70" xfId="132" applyFont="1" applyFill="1" applyBorder="1" applyAlignment="1">
      <alignment horizontal="center" vertical="center"/>
    </xf>
    <xf numFmtId="9" fontId="115" fillId="50" borderId="70" xfId="132" applyFont="1" applyFill="1" applyBorder="1" applyAlignment="1">
      <alignment horizontal="center" vertical="center"/>
    </xf>
    <xf numFmtId="9" fontId="115" fillId="50" borderId="71" xfId="132" applyFont="1" applyFill="1" applyBorder="1" applyAlignment="1">
      <alignment horizontal="center" vertical="center"/>
    </xf>
    <xf numFmtId="0" fontId="121" fillId="34" borderId="0" xfId="0" applyFont="1" applyFill="1" applyAlignment="1">
      <alignment vertical="center"/>
    </xf>
    <xf numFmtId="0" fontId="125" fillId="0" borderId="0" xfId="0" applyFont="1" applyAlignment="1">
      <alignment horizontal="center" vertical="center" wrapText="1"/>
    </xf>
    <xf numFmtId="3" fontId="125" fillId="0" borderId="0" xfId="0" applyNumberFormat="1" applyFont="1" applyAlignment="1">
      <alignment horizontal="center" vertical="center"/>
    </xf>
    <xf numFmtId="3" fontId="125" fillId="34" borderId="0" xfId="0" applyNumberFormat="1" applyFont="1" applyFill="1" applyAlignment="1">
      <alignment horizontal="center" vertical="center"/>
    </xf>
    <xf numFmtId="9" fontId="125" fillId="34" borderId="0" xfId="0" applyNumberFormat="1" applyFont="1" applyFill="1" applyAlignment="1">
      <alignment horizontal="center" vertical="center"/>
    </xf>
    <xf numFmtId="9" fontId="115" fillId="34" borderId="0" xfId="0" applyNumberFormat="1" applyFont="1" applyFill="1" applyAlignment="1">
      <alignment horizontal="center" vertical="center"/>
    </xf>
    <xf numFmtId="0" fontId="125" fillId="0" borderId="0" xfId="0" applyFont="1" applyAlignment="1">
      <alignment horizontal="left" vertical="center"/>
    </xf>
    <xf numFmtId="9" fontId="142" fillId="0" borderId="0" xfId="0" applyNumberFormat="1" applyFont="1" applyAlignment="1">
      <alignment horizontal="center" vertical="center"/>
    </xf>
    <xf numFmtId="0" fontId="114" fillId="0" borderId="0" xfId="184" applyFont="1" applyAlignment="1">
      <alignment vertical="center"/>
    </xf>
    <xf numFmtId="0" fontId="114" fillId="0" borderId="0" xfId="184" applyFont="1" applyAlignment="1">
      <alignment horizontal="left" vertical="center"/>
    </xf>
    <xf numFmtId="0" fontId="132" fillId="50" borderId="37" xfId="0" applyFont="1" applyFill="1" applyBorder="1" applyAlignment="1">
      <alignment horizontal="left" vertical="center"/>
    </xf>
    <xf numFmtId="173" fontId="125" fillId="50" borderId="38" xfId="0" applyNumberFormat="1" applyFont="1" applyFill="1" applyBorder="1" applyAlignment="1">
      <alignment horizontal="center" vertical="center" wrapText="1"/>
    </xf>
    <xf numFmtId="173" fontId="125" fillId="50" borderId="44" xfId="0" applyNumberFormat="1" applyFont="1" applyFill="1" applyBorder="1" applyAlignment="1">
      <alignment horizontal="center" vertical="center" wrapText="1"/>
    </xf>
    <xf numFmtId="3" fontId="125" fillId="48" borderId="45" xfId="0" applyNumberFormat="1" applyFont="1" applyFill="1" applyBorder="1" applyAlignment="1">
      <alignment horizontal="center" vertical="center"/>
    </xf>
    <xf numFmtId="0" fontId="115" fillId="0" borderId="39" xfId="0" applyFont="1" applyBorder="1" applyAlignment="1">
      <alignment vertical="center"/>
    </xf>
    <xf numFmtId="3" fontId="115" fillId="48" borderId="45" xfId="0" applyNumberFormat="1" applyFont="1" applyFill="1" applyBorder="1" applyAlignment="1">
      <alignment horizontal="center" vertical="center"/>
    </xf>
    <xf numFmtId="0" fontId="125" fillId="37" borderId="41" xfId="0" applyFont="1" applyFill="1" applyBorder="1" applyAlignment="1">
      <alignment horizontal="left" vertical="center" wrapText="1"/>
    </xf>
    <xf numFmtId="0" fontId="115" fillId="0" borderId="39" xfId="0" applyFont="1" applyBorder="1" applyAlignment="1">
      <alignment horizontal="left" vertical="center"/>
    </xf>
    <xf numFmtId="0" fontId="125" fillId="0" borderId="39" xfId="0" applyFont="1" applyBorder="1" applyAlignment="1">
      <alignment horizontal="left" vertical="center"/>
    </xf>
    <xf numFmtId="0" fontId="132" fillId="0" borderId="39" xfId="0" applyFont="1" applyBorder="1" applyAlignment="1">
      <alignment horizontal="left" vertical="center"/>
    </xf>
    <xf numFmtId="9" fontId="115" fillId="0" borderId="0" xfId="0" applyNumberFormat="1" applyFont="1" applyAlignment="1">
      <alignment horizontal="center" vertical="center"/>
    </xf>
    <xf numFmtId="9" fontId="115" fillId="48" borderId="45" xfId="0" applyNumberFormat="1" applyFont="1" applyFill="1" applyBorder="1" applyAlignment="1">
      <alignment horizontal="center" vertical="center"/>
    </xf>
    <xf numFmtId="0" fontId="125" fillId="0" borderId="41" xfId="0" applyFont="1" applyBorder="1" applyAlignment="1">
      <alignment horizontal="left" vertical="center"/>
    </xf>
    <xf numFmtId="9" fontId="142" fillId="34" borderId="42" xfId="0" applyNumberFormat="1" applyFont="1" applyFill="1" applyBorder="1" applyAlignment="1">
      <alignment horizontal="center" vertical="center"/>
    </xf>
    <xf numFmtId="9" fontId="142" fillId="0" borderId="42" xfId="0" applyNumberFormat="1" applyFont="1" applyBorder="1" applyAlignment="1">
      <alignment horizontal="center" vertical="center"/>
    </xf>
    <xf numFmtId="9" fontId="142" fillId="48" borderId="49" xfId="0" applyNumberFormat="1" applyFont="1" applyFill="1" applyBorder="1" applyAlignment="1">
      <alignment horizontal="center" vertical="center"/>
    </xf>
    <xf numFmtId="9" fontId="125" fillId="0" borderId="0" xfId="0" applyNumberFormat="1" applyFont="1" applyAlignment="1">
      <alignment horizontal="center" vertical="center"/>
    </xf>
    <xf numFmtId="173" fontId="125" fillId="50" borderId="47" xfId="0" applyNumberFormat="1" applyFont="1" applyFill="1" applyBorder="1" applyAlignment="1">
      <alignment horizontal="center" vertical="center" wrapText="1"/>
    </xf>
    <xf numFmtId="3" fontId="115" fillId="34" borderId="48" xfId="0" applyNumberFormat="1" applyFont="1" applyFill="1" applyBorder="1" applyAlignment="1">
      <alignment horizontal="center" vertical="center"/>
    </xf>
    <xf numFmtId="0" fontId="143" fillId="0" borderId="61" xfId="0" applyFont="1" applyBorder="1" applyAlignment="1">
      <alignment horizontal="left" vertical="center" wrapText="1"/>
    </xf>
    <xf numFmtId="0" fontId="125" fillId="0" borderId="12" xfId="0" applyFont="1" applyBorder="1" applyAlignment="1">
      <alignment horizontal="left"/>
    </xf>
    <xf numFmtId="3" fontId="147" fillId="34" borderId="0" xfId="0" applyNumberFormat="1" applyFont="1" applyFill="1" applyAlignment="1">
      <alignment horizontal="center" vertical="center"/>
    </xf>
    <xf numFmtId="0" fontId="115" fillId="0" borderId="0" xfId="0" applyFont="1" applyAlignment="1">
      <alignment horizontal="left" vertical="center" wrapText="1"/>
    </xf>
    <xf numFmtId="0" fontId="114" fillId="0" borderId="0" xfId="0" applyFont="1" applyAlignment="1">
      <alignment horizontal="left" vertical="top" wrapText="1"/>
    </xf>
    <xf numFmtId="0" fontId="114" fillId="0" borderId="0" xfId="0" applyFont="1" applyAlignment="1">
      <alignment horizontal="left" vertical="top"/>
    </xf>
    <xf numFmtId="0" fontId="125" fillId="0" borderId="75" xfId="0" applyFont="1" applyBorder="1" applyAlignment="1">
      <alignment horizontal="left"/>
    </xf>
    <xf numFmtId="0" fontId="125" fillId="0" borderId="76" xfId="0" applyFont="1" applyBorder="1" applyAlignment="1">
      <alignment horizontal="left"/>
    </xf>
    <xf numFmtId="0" fontId="147" fillId="34" borderId="39" xfId="0" applyFont="1" applyFill="1" applyBorder="1" applyAlignment="1">
      <alignment horizontal="left" vertical="center" wrapText="1" indent="3"/>
    </xf>
    <xf numFmtId="3" fontId="147" fillId="0" borderId="0" xfId="0" applyNumberFormat="1" applyFont="1" applyAlignment="1">
      <alignment horizontal="center" vertical="center"/>
    </xf>
    <xf numFmtId="0" fontId="115" fillId="34" borderId="39" xfId="0" applyFont="1" applyFill="1" applyBorder="1" applyAlignment="1">
      <alignment horizontal="left" vertical="center" wrapText="1"/>
    </xf>
    <xf numFmtId="0" fontId="115" fillId="0" borderId="45" xfId="0" applyFont="1" applyBorder="1" applyAlignment="1">
      <alignment vertical="center"/>
    </xf>
    <xf numFmtId="0" fontId="125" fillId="0" borderId="82" xfId="0" applyFont="1" applyBorder="1" applyAlignment="1">
      <alignment horizontal="left"/>
    </xf>
    <xf numFmtId="0" fontId="115" fillId="0" borderId="48" xfId="0" applyFont="1" applyBorder="1" applyAlignment="1">
      <alignment vertical="center"/>
    </xf>
    <xf numFmtId="0" fontId="125" fillId="0" borderId="93" xfId="0" applyFont="1" applyBorder="1" applyAlignment="1">
      <alignment horizontal="left"/>
    </xf>
    <xf numFmtId="0" fontId="125" fillId="0" borderId="94" xfId="0" applyFont="1" applyBorder="1" applyAlignment="1">
      <alignment horizontal="left"/>
    </xf>
    <xf numFmtId="0" fontId="125" fillId="0" borderId="95" xfId="0" applyFont="1" applyBorder="1" applyAlignment="1">
      <alignment horizontal="left"/>
    </xf>
    <xf numFmtId="0" fontId="125" fillId="0" borderId="96" xfId="0" applyFont="1" applyBorder="1" applyAlignment="1">
      <alignment horizontal="left"/>
    </xf>
    <xf numFmtId="0" fontId="133" fillId="50" borderId="37" xfId="0" applyFont="1" applyFill="1" applyBorder="1" applyAlignment="1">
      <alignment vertical="center"/>
    </xf>
    <xf numFmtId="0" fontId="125" fillId="50" borderId="38" xfId="0" applyFont="1" applyFill="1" applyBorder="1" applyAlignment="1">
      <alignment horizontal="center" vertical="center" wrapText="1"/>
    </xf>
    <xf numFmtId="0" fontId="125" fillId="50" borderId="47" xfId="0" applyFont="1" applyFill="1" applyBorder="1" applyAlignment="1">
      <alignment horizontal="center" vertical="center" wrapText="1"/>
    </xf>
    <xf numFmtId="0" fontId="125" fillId="50" borderId="44" xfId="0" applyFont="1" applyFill="1" applyBorder="1" applyAlignment="1">
      <alignment horizontal="center" vertical="center" wrapText="1"/>
    </xf>
    <xf numFmtId="0" fontId="140" fillId="50" borderId="88" xfId="0" applyFont="1" applyFill="1" applyBorder="1" applyAlignment="1">
      <alignment horizontal="left" vertical="center" wrapText="1"/>
    </xf>
    <xf numFmtId="3" fontId="125" fillId="50" borderId="58" xfId="0" applyNumberFormat="1" applyFont="1" applyFill="1" applyBorder="1" applyAlignment="1">
      <alignment horizontal="center" vertical="center" wrapText="1"/>
    </xf>
    <xf numFmtId="3" fontId="125" fillId="50" borderId="81" xfId="0" applyNumberFormat="1" applyFont="1" applyFill="1" applyBorder="1" applyAlignment="1">
      <alignment horizontal="center" vertical="center" wrapText="1"/>
    </xf>
    <xf numFmtId="3" fontId="125" fillId="50" borderId="74" xfId="0" applyNumberFormat="1" applyFont="1" applyFill="1" applyBorder="1" applyAlignment="1">
      <alignment horizontal="center" vertical="center" wrapText="1"/>
    </xf>
    <xf numFmtId="0" fontId="140" fillId="50" borderId="89" xfId="0" applyFont="1" applyFill="1" applyBorder="1" applyAlignment="1">
      <alignment horizontal="left" vertical="center" wrapText="1"/>
    </xf>
    <xf numFmtId="3" fontId="125" fillId="50" borderId="90" xfId="0" applyNumberFormat="1" applyFont="1" applyFill="1" applyBorder="1" applyAlignment="1">
      <alignment horizontal="center" vertical="center" wrapText="1"/>
    </xf>
    <xf numFmtId="3" fontId="125" fillId="50" borderId="91" xfId="0" applyNumberFormat="1" applyFont="1" applyFill="1" applyBorder="1" applyAlignment="1">
      <alignment horizontal="center" vertical="center" wrapText="1"/>
    </xf>
    <xf numFmtId="3" fontId="125" fillId="50" borderId="92" xfId="0" applyNumberFormat="1" applyFont="1" applyFill="1" applyBorder="1" applyAlignment="1">
      <alignment horizontal="center" vertical="center" wrapText="1"/>
    </xf>
    <xf numFmtId="0" fontId="140" fillId="50" borderId="40" xfId="0" applyFont="1" applyFill="1" applyBorder="1" applyAlignment="1">
      <alignment horizontal="left" vertical="center" wrapText="1"/>
    </xf>
    <xf numFmtId="4" fontId="125" fillId="50" borderId="36" xfId="0" applyNumberFormat="1" applyFont="1" applyFill="1" applyBorder="1" applyAlignment="1">
      <alignment horizontal="center" vertical="center" wrapText="1"/>
    </xf>
    <xf numFmtId="4" fontId="125" fillId="50" borderId="43" xfId="0" applyNumberFormat="1" applyFont="1" applyFill="1" applyBorder="1" applyAlignment="1">
      <alignment horizontal="center" vertical="center" wrapText="1"/>
    </xf>
    <xf numFmtId="4" fontId="125" fillId="50" borderId="46" xfId="0" applyNumberFormat="1" applyFont="1" applyFill="1" applyBorder="1" applyAlignment="1">
      <alignment horizontal="center" vertical="center" wrapText="1"/>
    </xf>
    <xf numFmtId="0" fontId="140" fillId="50" borderId="84" xfId="0" applyFont="1" applyFill="1" applyBorder="1" applyAlignment="1">
      <alignment horizontal="left" vertical="center" wrapText="1"/>
    </xf>
    <xf numFmtId="3" fontId="125" fillId="50" borderId="85" xfId="0" applyNumberFormat="1" applyFont="1" applyFill="1" applyBorder="1" applyAlignment="1">
      <alignment horizontal="center" vertical="center" wrapText="1"/>
    </xf>
    <xf numFmtId="3" fontId="125" fillId="50" borderId="86" xfId="0" applyNumberFormat="1" applyFont="1" applyFill="1" applyBorder="1" applyAlignment="1">
      <alignment horizontal="center" vertical="center" wrapText="1"/>
    </xf>
    <xf numFmtId="3" fontId="125" fillId="50" borderId="87" xfId="0" applyNumberFormat="1" applyFont="1" applyFill="1" applyBorder="1" applyAlignment="1">
      <alignment horizontal="center" vertical="center" wrapText="1"/>
    </xf>
    <xf numFmtId="0" fontId="148" fillId="50" borderId="75" xfId="0" applyFont="1" applyFill="1" applyBorder="1" applyAlignment="1">
      <alignment horizontal="left" vertical="center" wrapText="1" indent="2"/>
    </xf>
    <xf numFmtId="4" fontId="146" fillId="50" borderId="12" xfId="0" applyNumberFormat="1" applyFont="1" applyFill="1" applyBorder="1" applyAlignment="1">
      <alignment horizontal="center" vertical="center" wrapText="1"/>
    </xf>
    <xf numFmtId="4" fontId="146" fillId="50" borderId="82" xfId="0" applyNumberFormat="1" applyFont="1" applyFill="1" applyBorder="1" applyAlignment="1">
      <alignment horizontal="center" vertical="center" wrapText="1"/>
    </xf>
    <xf numFmtId="4" fontId="146" fillId="50" borderId="76" xfId="0" applyNumberFormat="1" applyFont="1" applyFill="1" applyBorder="1" applyAlignment="1">
      <alignment horizontal="center" vertical="center" wrapText="1"/>
    </xf>
    <xf numFmtId="0" fontId="140" fillId="50" borderId="72" xfId="0" applyFont="1" applyFill="1" applyBorder="1" applyAlignment="1">
      <alignment horizontal="left" vertical="center" wrapText="1"/>
    </xf>
    <xf numFmtId="3" fontId="125" fillId="50" borderId="57" xfId="0" applyNumberFormat="1" applyFont="1" applyFill="1" applyBorder="1" applyAlignment="1">
      <alignment horizontal="center" vertical="center" wrapText="1"/>
    </xf>
    <xf numFmtId="3" fontId="125" fillId="50" borderId="80" xfId="0" applyNumberFormat="1" applyFont="1" applyFill="1" applyBorder="1" applyAlignment="1">
      <alignment horizontal="center" vertical="center" wrapText="1"/>
    </xf>
    <xf numFmtId="3" fontId="125" fillId="50" borderId="73" xfId="0" applyNumberFormat="1" applyFont="1" applyFill="1" applyBorder="1" applyAlignment="1">
      <alignment horizontal="center" vertical="center" wrapText="1"/>
    </xf>
    <xf numFmtId="0" fontId="148" fillId="50" borderId="77" xfId="0" applyFont="1" applyFill="1" applyBorder="1" applyAlignment="1">
      <alignment horizontal="left" vertical="center" wrapText="1" indent="2"/>
    </xf>
    <xf numFmtId="4" fontId="146" fillId="50" borderId="78" xfId="0" applyNumberFormat="1" applyFont="1" applyFill="1" applyBorder="1" applyAlignment="1">
      <alignment horizontal="center" vertical="center" wrapText="1"/>
    </xf>
    <xf numFmtId="4" fontId="146" fillId="50" borderId="83" xfId="0" applyNumberFormat="1" applyFont="1" applyFill="1" applyBorder="1" applyAlignment="1">
      <alignment horizontal="center" vertical="center" wrapText="1"/>
    </xf>
    <xf numFmtId="4" fontId="146" fillId="50" borderId="79" xfId="0" applyNumberFormat="1" applyFont="1" applyFill="1" applyBorder="1" applyAlignment="1">
      <alignment horizontal="center" vertical="center" wrapText="1"/>
    </xf>
    <xf numFmtId="3" fontId="147" fillId="48" borderId="45" xfId="0" applyNumberFormat="1" applyFont="1" applyFill="1" applyBorder="1" applyAlignment="1">
      <alignment horizontal="center" vertical="center"/>
    </xf>
    <xf numFmtId="0" fontId="125" fillId="52" borderId="93" xfId="0" applyFont="1" applyFill="1" applyBorder="1" applyAlignment="1">
      <alignment horizontal="left" vertical="center" wrapText="1"/>
    </xf>
    <xf numFmtId="1" fontId="125" fillId="52" borderId="94" xfId="0" applyNumberFormat="1" applyFont="1" applyFill="1" applyBorder="1" applyAlignment="1">
      <alignment horizontal="center" vertical="center" wrapText="1"/>
    </xf>
    <xf numFmtId="1" fontId="125" fillId="52" borderId="95" xfId="0" applyNumberFormat="1" applyFont="1" applyFill="1" applyBorder="1" applyAlignment="1">
      <alignment horizontal="center" vertical="center" wrapText="1"/>
    </xf>
    <xf numFmtId="1" fontId="125" fillId="52" borderId="96" xfId="0" applyNumberFormat="1" applyFont="1" applyFill="1" applyBorder="1" applyAlignment="1">
      <alignment horizontal="center" vertical="center" wrapText="1"/>
    </xf>
    <xf numFmtId="0" fontId="146" fillId="52" borderId="39" xfId="0" applyFont="1" applyFill="1" applyBorder="1" applyAlignment="1">
      <alignment horizontal="left" vertical="center" wrapText="1" indent="1"/>
    </xf>
    <xf numFmtId="1" fontId="125" fillId="52" borderId="0" xfId="0" applyNumberFormat="1" applyFont="1" applyFill="1" applyAlignment="1">
      <alignment horizontal="center" vertical="center" wrapText="1"/>
    </xf>
    <xf numFmtId="1" fontId="125" fillId="52" borderId="48" xfId="0" applyNumberFormat="1" applyFont="1" applyFill="1" applyBorder="1" applyAlignment="1">
      <alignment horizontal="center" vertical="center" wrapText="1"/>
    </xf>
    <xf numFmtId="1" fontId="125" fillId="52" borderId="45" xfId="0" applyNumberFormat="1" applyFont="1" applyFill="1" applyBorder="1" applyAlignment="1">
      <alignment horizontal="center" vertical="center" wrapText="1"/>
    </xf>
    <xf numFmtId="3" fontId="125" fillId="52" borderId="94" xfId="0" applyNumberFormat="1" applyFont="1" applyFill="1" applyBorder="1" applyAlignment="1">
      <alignment horizontal="center" vertical="center" wrapText="1"/>
    </xf>
    <xf numFmtId="3" fontId="125" fillId="52" borderId="95" xfId="0" applyNumberFormat="1" applyFont="1" applyFill="1" applyBorder="1" applyAlignment="1">
      <alignment horizontal="center" vertical="center" wrapText="1"/>
    </xf>
    <xf numFmtId="3" fontId="125" fillId="52" borderId="96" xfId="0" applyNumberFormat="1" applyFont="1" applyFill="1" applyBorder="1" applyAlignment="1">
      <alignment horizontal="center" vertical="center" wrapText="1"/>
    </xf>
    <xf numFmtId="0" fontId="146" fillId="52" borderId="93" xfId="0" applyFont="1" applyFill="1" applyBorder="1" applyAlignment="1">
      <alignment horizontal="left" vertical="center" wrapText="1" indent="1"/>
    </xf>
    <xf numFmtId="3" fontId="146" fillId="52" borderId="94" xfId="0" applyNumberFormat="1" applyFont="1" applyFill="1" applyBorder="1" applyAlignment="1">
      <alignment horizontal="center" vertical="center" wrapText="1"/>
    </xf>
    <xf numFmtId="3" fontId="146" fillId="52" borderId="95" xfId="0" applyNumberFormat="1" applyFont="1" applyFill="1" applyBorder="1" applyAlignment="1">
      <alignment horizontal="center" vertical="center" wrapText="1"/>
    </xf>
    <xf numFmtId="3" fontId="146" fillId="52" borderId="96" xfId="0" applyNumberFormat="1" applyFont="1" applyFill="1" applyBorder="1" applyAlignment="1">
      <alignment horizontal="center" vertical="center" wrapText="1"/>
    </xf>
    <xf numFmtId="0" fontId="133" fillId="52" borderId="93" xfId="0" applyFont="1" applyFill="1" applyBorder="1" applyAlignment="1">
      <alignment horizontal="left" vertical="center" wrapText="1"/>
    </xf>
    <xf numFmtId="3" fontId="133" fillId="52" borderId="94" xfId="0" applyNumberFormat="1" applyFont="1" applyFill="1" applyBorder="1" applyAlignment="1">
      <alignment horizontal="center" vertical="center" wrapText="1"/>
    </xf>
    <xf numFmtId="3" fontId="133" fillId="52" borderId="95" xfId="0" applyNumberFormat="1" applyFont="1" applyFill="1" applyBorder="1" applyAlignment="1">
      <alignment horizontal="center" vertical="center" wrapText="1"/>
    </xf>
    <xf numFmtId="3" fontId="133" fillId="52" borderId="96" xfId="0" applyNumberFormat="1" applyFont="1" applyFill="1" applyBorder="1" applyAlignment="1">
      <alignment horizontal="center" vertical="center" wrapText="1"/>
    </xf>
    <xf numFmtId="0" fontId="115" fillId="52" borderId="84" xfId="0" applyFont="1" applyFill="1" applyBorder="1" applyAlignment="1">
      <alignment horizontal="left" vertical="center" wrapText="1"/>
    </xf>
    <xf numFmtId="3" fontId="115" fillId="52" borderId="85" xfId="0" applyNumberFormat="1" applyFont="1" applyFill="1" applyBorder="1" applyAlignment="1">
      <alignment horizontal="center" vertical="center" wrapText="1"/>
    </xf>
    <xf numFmtId="3" fontId="115" fillId="52" borderId="86" xfId="0" applyNumberFormat="1" applyFont="1" applyFill="1" applyBorder="1" applyAlignment="1">
      <alignment horizontal="center" vertical="center" wrapText="1"/>
    </xf>
    <xf numFmtId="3" fontId="115" fillId="52" borderId="87" xfId="0" applyNumberFormat="1" applyFont="1" applyFill="1" applyBorder="1" applyAlignment="1">
      <alignment horizontal="center" vertical="center" wrapText="1"/>
    </xf>
    <xf numFmtId="0" fontId="115" fillId="52" borderId="77" xfId="0" applyFont="1" applyFill="1" applyBorder="1" applyAlignment="1">
      <alignment horizontal="left" vertical="center" wrapText="1"/>
    </xf>
    <xf numFmtId="3" fontId="115" fillId="52" borderId="42" xfId="0" applyNumberFormat="1" applyFont="1" applyFill="1" applyBorder="1" applyAlignment="1">
      <alignment horizontal="center" vertical="center" wrapText="1"/>
    </xf>
    <xf numFmtId="3" fontId="115" fillId="52" borderId="50" xfId="0" applyNumberFormat="1" applyFont="1" applyFill="1" applyBorder="1" applyAlignment="1">
      <alignment horizontal="center" vertical="center" wrapText="1"/>
    </xf>
    <xf numFmtId="3" fontId="115" fillId="52" borderId="49" xfId="0" applyNumberFormat="1" applyFont="1" applyFill="1" applyBorder="1" applyAlignment="1">
      <alignment horizontal="center" vertical="center" wrapText="1"/>
    </xf>
    <xf numFmtId="1" fontId="115" fillId="34" borderId="0" xfId="0" applyNumberFormat="1" applyFont="1" applyFill="1" applyAlignment="1">
      <alignment horizontal="center" vertical="center"/>
    </xf>
    <xf numFmtId="2" fontId="115" fillId="34" borderId="0" xfId="0" applyNumberFormat="1" applyFont="1" applyFill="1" applyAlignment="1">
      <alignment horizontal="center" vertical="center"/>
    </xf>
    <xf numFmtId="1" fontId="115" fillId="0" borderId="0" xfId="0" applyNumberFormat="1" applyFont="1" applyAlignment="1">
      <alignment horizontal="center" vertical="center"/>
    </xf>
    <xf numFmtId="1" fontId="115" fillId="48" borderId="45" xfId="0" applyNumberFormat="1" applyFont="1" applyFill="1" applyBorder="1" applyAlignment="1">
      <alignment horizontal="center" vertical="center"/>
    </xf>
    <xf numFmtId="2" fontId="115" fillId="0" borderId="0" xfId="0" applyNumberFormat="1" applyFont="1" applyAlignment="1">
      <alignment horizontal="center" vertical="center"/>
    </xf>
    <xf numFmtId="2" fontId="115" fillId="48" borderId="45" xfId="0" applyNumberFormat="1" applyFont="1" applyFill="1" applyBorder="1" applyAlignment="1">
      <alignment horizontal="center" vertical="center"/>
    </xf>
    <xf numFmtId="2" fontId="125" fillId="0" borderId="0" xfId="0" applyNumberFormat="1" applyFont="1" applyAlignment="1">
      <alignment horizontal="left"/>
    </xf>
    <xf numFmtId="10" fontId="125" fillId="50" borderId="42" xfId="132" applyNumberFormat="1" applyFont="1" applyFill="1" applyBorder="1" applyAlignment="1">
      <alignment horizontal="center" vertical="center" wrapText="1"/>
    </xf>
    <xf numFmtId="1" fontId="115" fillId="34" borderId="48" xfId="0" applyNumberFormat="1" applyFont="1" applyFill="1" applyBorder="1" applyAlignment="1">
      <alignment horizontal="center" vertical="center"/>
    </xf>
    <xf numFmtId="0" fontId="125" fillId="0" borderId="39" xfId="0" applyFont="1" applyBorder="1" applyAlignment="1">
      <alignment horizontal="left"/>
    </xf>
    <xf numFmtId="2" fontId="125" fillId="0" borderId="48" xfId="0" applyNumberFormat="1" applyFont="1" applyBorder="1" applyAlignment="1">
      <alignment horizontal="left"/>
    </xf>
    <xf numFmtId="2" fontId="125" fillId="0" borderId="45" xfId="0" applyNumberFormat="1" applyFont="1" applyBorder="1" applyAlignment="1">
      <alignment horizontal="left"/>
    </xf>
    <xf numFmtId="0" fontId="140" fillId="50" borderId="93" xfId="0" applyFont="1" applyFill="1" applyBorder="1" applyAlignment="1">
      <alignment horizontal="left" vertical="center" wrapText="1"/>
    </xf>
    <xf numFmtId="1" fontId="125" fillId="50" borderId="94" xfId="0" applyNumberFormat="1" applyFont="1" applyFill="1" applyBorder="1" applyAlignment="1">
      <alignment horizontal="center" vertical="center" wrapText="1"/>
    </xf>
    <xf numFmtId="1" fontId="125" fillId="50" borderId="95" xfId="0" applyNumberFormat="1" applyFont="1" applyFill="1" applyBorder="1" applyAlignment="1">
      <alignment horizontal="center" vertical="center" wrapText="1"/>
    </xf>
    <xf numFmtId="1" fontId="125" fillId="50" borderId="96" xfId="0" applyNumberFormat="1" applyFont="1" applyFill="1" applyBorder="1" applyAlignment="1">
      <alignment horizontal="center" vertical="center" wrapText="1"/>
    </xf>
    <xf numFmtId="0" fontId="140" fillId="34" borderId="39" xfId="0" applyFont="1" applyFill="1" applyBorder="1" applyAlignment="1">
      <alignment horizontal="left" vertical="center" wrapText="1"/>
    </xf>
    <xf numFmtId="1" fontId="125" fillId="34" borderId="0" xfId="0" applyNumberFormat="1" applyFont="1" applyFill="1" applyAlignment="1">
      <alignment horizontal="center" vertical="center" wrapText="1"/>
    </xf>
    <xf numFmtId="1" fontId="125" fillId="34" borderId="48" xfId="0" applyNumberFormat="1" applyFont="1" applyFill="1" applyBorder="1" applyAlignment="1">
      <alignment horizontal="center" vertical="center" wrapText="1"/>
    </xf>
    <xf numFmtId="1" fontId="125" fillId="34" borderId="45" xfId="0" applyNumberFormat="1" applyFont="1" applyFill="1" applyBorder="1" applyAlignment="1">
      <alignment horizontal="center" vertical="center" wrapText="1"/>
    </xf>
    <xf numFmtId="0" fontId="140" fillId="50" borderId="41" xfId="0" applyFont="1" applyFill="1" applyBorder="1" applyAlignment="1">
      <alignment horizontal="left" vertical="center" wrapText="1"/>
    </xf>
    <xf numFmtId="10" fontId="125" fillId="50" borderId="50" xfId="132" applyNumberFormat="1" applyFont="1" applyFill="1" applyBorder="1" applyAlignment="1">
      <alignment horizontal="center" vertical="center" wrapText="1"/>
    </xf>
    <xf numFmtId="10" fontId="125" fillId="50" borderId="49" xfId="132" applyNumberFormat="1" applyFont="1" applyFill="1" applyBorder="1" applyAlignment="1">
      <alignment horizontal="center" vertical="center" wrapText="1"/>
    </xf>
    <xf numFmtId="10" fontId="125" fillId="50" borderId="94" xfId="132" applyNumberFormat="1" applyFont="1" applyFill="1" applyBorder="1" applyAlignment="1">
      <alignment horizontal="center" vertical="center" wrapText="1"/>
    </xf>
    <xf numFmtId="10" fontId="125" fillId="50" borderId="95" xfId="132" applyNumberFormat="1" applyFont="1" applyFill="1" applyBorder="1" applyAlignment="1">
      <alignment horizontal="center" vertical="center" wrapText="1"/>
    </xf>
    <xf numFmtId="10" fontId="125" fillId="50" borderId="96" xfId="132" applyNumberFormat="1" applyFont="1" applyFill="1" applyBorder="1" applyAlignment="1">
      <alignment horizontal="center" vertical="center" wrapText="1"/>
    </xf>
    <xf numFmtId="2" fontId="125" fillId="0" borderId="94" xfId="0" applyNumberFormat="1" applyFont="1" applyBorder="1" applyAlignment="1">
      <alignment horizontal="left"/>
    </xf>
    <xf numFmtId="2" fontId="125" fillId="0" borderId="95" xfId="0" applyNumberFormat="1" applyFont="1" applyBorder="1" applyAlignment="1">
      <alignment horizontal="left"/>
    </xf>
    <xf numFmtId="2" fontId="125" fillId="0" borderId="96" xfId="0" applyNumberFormat="1" applyFont="1" applyBorder="1" applyAlignment="1">
      <alignment horizontal="left"/>
    </xf>
    <xf numFmtId="0" fontId="129" fillId="0" borderId="0" xfId="184" applyFont="1" applyAlignment="1">
      <alignment horizontal="center" vertical="center"/>
    </xf>
    <xf numFmtId="0" fontId="150" fillId="0" borderId="0" xfId="184" applyFont="1" applyAlignment="1">
      <alignment vertical="center"/>
    </xf>
    <xf numFmtId="0" fontId="114" fillId="0" borderId="0" xfId="184" applyFont="1" applyAlignment="1">
      <alignment horizontal="center" vertical="center"/>
    </xf>
    <xf numFmtId="0" fontId="140" fillId="34" borderId="0" xfId="0" applyFont="1" applyFill="1" applyAlignment="1">
      <alignment horizontal="left" vertical="center" wrapText="1"/>
    </xf>
    <xf numFmtId="1" fontId="125" fillId="34" borderId="0" xfId="132" applyNumberFormat="1" applyFont="1" applyFill="1" applyBorder="1" applyAlignment="1">
      <alignment horizontal="center" vertical="center" wrapText="1"/>
    </xf>
    <xf numFmtId="0" fontId="133" fillId="50" borderId="38" xfId="0" applyFont="1" applyFill="1" applyBorder="1" applyAlignment="1">
      <alignment vertical="center"/>
    </xf>
    <xf numFmtId="0" fontId="115" fillId="0" borderId="98" xfId="0" applyFont="1" applyBorder="1" applyAlignment="1">
      <alignment horizontal="left" vertical="center" wrapText="1"/>
    </xf>
    <xf numFmtId="1" fontId="115" fillId="34" borderId="98" xfId="0" applyNumberFormat="1" applyFont="1" applyFill="1" applyBorder="1" applyAlignment="1">
      <alignment horizontal="center" vertical="center"/>
    </xf>
    <xf numFmtId="1" fontId="115" fillId="0" borderId="98" xfId="0" applyNumberFormat="1" applyFont="1" applyBorder="1" applyAlignment="1">
      <alignment horizontal="center" vertical="center"/>
    </xf>
    <xf numFmtId="1" fontId="115" fillId="48" borderId="100" xfId="0" applyNumberFormat="1" applyFont="1" applyFill="1" applyBorder="1" applyAlignment="1">
      <alignment horizontal="center" vertical="center"/>
    </xf>
    <xf numFmtId="0" fontId="115" fillId="0" borderId="102" xfId="0" applyFont="1" applyBorder="1" applyAlignment="1">
      <alignment horizontal="left" vertical="center" wrapText="1"/>
    </xf>
    <xf numFmtId="1" fontId="115" fillId="34" borderId="102" xfId="0" applyNumberFormat="1" applyFont="1" applyFill="1" applyBorder="1" applyAlignment="1">
      <alignment horizontal="center" vertical="center"/>
    </xf>
    <xf numFmtId="1" fontId="115" fillId="0" borderId="102" xfId="0" applyNumberFormat="1" applyFont="1" applyBorder="1" applyAlignment="1">
      <alignment horizontal="center" vertical="center"/>
    </xf>
    <xf numFmtId="1" fontId="115" fillId="48" borderId="104" xfId="0" applyNumberFormat="1" applyFont="1" applyFill="1" applyBorder="1" applyAlignment="1">
      <alignment horizontal="center" vertical="center"/>
    </xf>
    <xf numFmtId="0" fontId="140" fillId="51" borderId="41" xfId="0" applyFont="1" applyFill="1" applyBorder="1" applyAlignment="1">
      <alignment horizontal="left" vertical="center" wrapText="1"/>
    </xf>
    <xf numFmtId="0" fontId="140" fillId="51" borderId="42" xfId="0" applyFont="1" applyFill="1" applyBorder="1" applyAlignment="1">
      <alignment horizontal="left" vertical="center" wrapText="1"/>
    </xf>
    <xf numFmtId="1" fontId="125" fillId="51" borderId="42" xfId="132" applyNumberFormat="1" applyFont="1" applyFill="1" applyBorder="1" applyAlignment="1">
      <alignment horizontal="center" vertical="center" wrapText="1"/>
    </xf>
    <xf numFmtId="1" fontId="125" fillId="51" borderId="50" xfId="132" applyNumberFormat="1" applyFont="1" applyFill="1" applyBorder="1" applyAlignment="1">
      <alignment horizontal="center" vertical="center" wrapText="1"/>
    </xf>
    <xf numFmtId="1" fontId="125" fillId="51" borderId="49" xfId="132" applyNumberFormat="1" applyFont="1" applyFill="1" applyBorder="1" applyAlignment="1">
      <alignment horizontal="center" vertical="center" wrapText="1"/>
    </xf>
    <xf numFmtId="0" fontId="115" fillId="51" borderId="93" xfId="0" applyFont="1" applyFill="1" applyBorder="1" applyAlignment="1">
      <alignment horizontal="left" vertical="center" wrapText="1"/>
    </xf>
    <xf numFmtId="0" fontId="140" fillId="34" borderId="94" xfId="0" applyFont="1" applyFill="1" applyBorder="1" applyAlignment="1">
      <alignment horizontal="left" vertical="center" wrapText="1"/>
    </xf>
    <xf numFmtId="1" fontId="115" fillId="34" borderId="94" xfId="0" applyNumberFormat="1" applyFont="1" applyFill="1" applyBorder="1" applyAlignment="1">
      <alignment horizontal="center" vertical="center" wrapText="1"/>
    </xf>
    <xf numFmtId="1" fontId="115" fillId="0" borderId="94" xfId="0" applyNumberFormat="1" applyFont="1" applyBorder="1" applyAlignment="1">
      <alignment horizontal="center" vertical="center" wrapText="1"/>
    </xf>
    <xf numFmtId="1" fontId="115" fillId="48" borderId="96" xfId="0" applyNumberFormat="1" applyFont="1" applyFill="1" applyBorder="1" applyAlignment="1">
      <alignment horizontal="center" vertical="center" wrapText="1"/>
    </xf>
    <xf numFmtId="0" fontId="151" fillId="0" borderId="0" xfId="184" applyFont="1" applyAlignment="1">
      <alignment horizontal="center" vertical="center"/>
    </xf>
    <xf numFmtId="0" fontId="115" fillId="0" borderId="0" xfId="0" applyFont="1" applyAlignment="1">
      <alignment horizontal="center" vertical="center"/>
    </xf>
    <xf numFmtId="1" fontId="115" fillId="34" borderId="0" xfId="132" applyNumberFormat="1" applyFont="1" applyFill="1" applyBorder="1" applyAlignment="1">
      <alignment horizontal="center" vertical="center"/>
    </xf>
    <xf numFmtId="1" fontId="125" fillId="34" borderId="0" xfId="0" applyNumberFormat="1" applyFont="1" applyFill="1" applyAlignment="1">
      <alignment vertical="center"/>
    </xf>
    <xf numFmtId="1" fontId="125" fillId="34" borderId="32" xfId="0" applyNumberFormat="1" applyFont="1" applyFill="1" applyBorder="1" applyAlignment="1">
      <alignment vertical="center"/>
    </xf>
    <xf numFmtId="169" fontId="125" fillId="37" borderId="0" xfId="132" applyNumberFormat="1" applyFont="1" applyFill="1" applyBorder="1" applyAlignment="1">
      <alignment horizontal="center" vertical="center" wrapText="1"/>
    </xf>
    <xf numFmtId="169" fontId="125" fillId="34" borderId="0" xfId="132" applyNumberFormat="1" applyFont="1" applyFill="1" applyBorder="1" applyAlignment="1">
      <alignment vertical="center"/>
    </xf>
    <xf numFmtId="9" fontId="125" fillId="37" borderId="0" xfId="132" applyFont="1" applyFill="1" applyBorder="1" applyAlignment="1">
      <alignment horizontal="center" vertical="center" wrapText="1"/>
    </xf>
    <xf numFmtId="9" fontId="125" fillId="34" borderId="0" xfId="132" applyFont="1" applyFill="1" applyBorder="1" applyAlignment="1">
      <alignment vertical="center"/>
    </xf>
    <xf numFmtId="0" fontId="125" fillId="50" borderId="13" xfId="0" applyFont="1" applyFill="1" applyBorder="1" applyAlignment="1">
      <alignment horizontal="center" vertical="center" wrapText="1"/>
    </xf>
    <xf numFmtId="3" fontId="115" fillId="48" borderId="14" xfId="0" applyNumberFormat="1" applyFont="1" applyFill="1" applyBorder="1" applyAlignment="1">
      <alignment horizontal="center" vertical="center"/>
    </xf>
    <xf numFmtId="1" fontId="115" fillId="48" borderId="14" xfId="132" applyNumberFormat="1" applyFont="1" applyFill="1" applyBorder="1" applyAlignment="1">
      <alignment horizontal="center" vertical="center"/>
    </xf>
    <xf numFmtId="1" fontId="115" fillId="48" borderId="14" xfId="0" applyNumberFormat="1" applyFont="1" applyFill="1" applyBorder="1" applyAlignment="1">
      <alignment horizontal="center" vertical="center"/>
    </xf>
    <xf numFmtId="1" fontId="125" fillId="48" borderId="29" xfId="0" applyNumberFormat="1" applyFont="1" applyFill="1" applyBorder="1" applyAlignment="1">
      <alignment horizontal="center" vertical="center"/>
    </xf>
    <xf numFmtId="1" fontId="115" fillId="48" borderId="29" xfId="0" applyNumberFormat="1" applyFont="1" applyFill="1" applyBorder="1" applyAlignment="1">
      <alignment horizontal="center" vertical="center"/>
    </xf>
    <xf numFmtId="3" fontId="125" fillId="48" borderId="29" xfId="0" applyNumberFormat="1" applyFont="1" applyFill="1" applyBorder="1" applyAlignment="1">
      <alignment horizontal="center" vertical="center"/>
    </xf>
    <xf numFmtId="169" fontId="125" fillId="48" borderId="14" xfId="132" applyNumberFormat="1" applyFont="1" applyFill="1" applyBorder="1" applyAlignment="1">
      <alignment horizontal="center" vertical="center"/>
    </xf>
    <xf numFmtId="9" fontId="125" fillId="48" borderId="14" xfId="132" applyFont="1" applyFill="1" applyBorder="1" applyAlignment="1">
      <alignment horizontal="center" vertical="center"/>
    </xf>
    <xf numFmtId="169" fontId="125" fillId="48" borderId="15" xfId="132" applyNumberFormat="1" applyFont="1" applyFill="1" applyBorder="1" applyAlignment="1">
      <alignment horizontal="center" vertical="center"/>
    </xf>
    <xf numFmtId="0" fontId="125" fillId="34" borderId="14" xfId="0" applyFont="1" applyFill="1" applyBorder="1" applyAlignment="1">
      <alignment vertical="center"/>
    </xf>
    <xf numFmtId="1" fontId="125" fillId="34" borderId="14" xfId="0" applyNumberFormat="1" applyFont="1" applyFill="1" applyBorder="1" applyAlignment="1">
      <alignment vertical="center"/>
    </xf>
    <xf numFmtId="169" fontId="125" fillId="34" borderId="14" xfId="132" applyNumberFormat="1" applyFont="1" applyFill="1" applyBorder="1" applyAlignment="1">
      <alignment vertical="center"/>
    </xf>
    <xf numFmtId="0" fontId="125" fillId="34" borderId="33" xfId="0" applyFont="1" applyFill="1" applyBorder="1" applyAlignment="1">
      <alignment vertical="center"/>
    </xf>
    <xf numFmtId="169" fontId="125" fillId="34" borderId="33" xfId="132" applyNumberFormat="1" applyFont="1" applyFill="1" applyBorder="1" applyAlignment="1">
      <alignment vertical="center"/>
    </xf>
    <xf numFmtId="1" fontId="115" fillId="37" borderId="0" xfId="0" applyNumberFormat="1" applyFont="1" applyFill="1" applyAlignment="1">
      <alignment horizontal="center" vertical="center" wrapText="1"/>
    </xf>
    <xf numFmtId="0" fontId="125" fillId="37" borderId="39" xfId="0" applyFont="1" applyFill="1" applyBorder="1" applyAlignment="1">
      <alignment horizontal="left" vertical="center" wrapText="1"/>
    </xf>
    <xf numFmtId="1" fontId="125" fillId="37" borderId="0" xfId="0" applyNumberFormat="1" applyFont="1" applyFill="1" applyAlignment="1">
      <alignment horizontal="center" vertical="center" wrapText="1"/>
    </xf>
    <xf numFmtId="169" fontId="125" fillId="37" borderId="42" xfId="132" applyNumberFormat="1" applyFont="1" applyFill="1" applyBorder="1" applyAlignment="1">
      <alignment horizontal="center" vertical="center" wrapText="1"/>
    </xf>
    <xf numFmtId="0" fontId="125" fillId="37" borderId="93" xfId="0" applyFont="1" applyFill="1" applyBorder="1" applyAlignment="1">
      <alignment horizontal="left" vertical="center" wrapText="1"/>
    </xf>
    <xf numFmtId="3" fontId="125" fillId="37" borderId="94" xfId="0" applyNumberFormat="1" applyFont="1" applyFill="1" applyBorder="1" applyAlignment="1">
      <alignment horizontal="center" vertical="center" wrapText="1"/>
    </xf>
    <xf numFmtId="1" fontId="125" fillId="37" borderId="94" xfId="0" applyNumberFormat="1" applyFont="1" applyFill="1" applyBorder="1" applyAlignment="1">
      <alignment horizontal="center" vertical="center" wrapText="1"/>
    </xf>
    <xf numFmtId="0" fontId="125" fillId="34" borderId="93" xfId="0" applyFont="1" applyFill="1" applyBorder="1" applyAlignment="1">
      <alignment horizontal="left" vertical="center" wrapText="1"/>
    </xf>
    <xf numFmtId="3" fontId="125" fillId="0" borderId="94" xfId="0" applyNumberFormat="1" applyFont="1" applyBorder="1" applyAlignment="1">
      <alignment horizontal="center" vertical="center"/>
    </xf>
    <xf numFmtId="3" fontId="125" fillId="48" borderId="96" xfId="0" applyNumberFormat="1" applyFont="1" applyFill="1" applyBorder="1" applyAlignment="1">
      <alignment horizontal="center" vertical="center"/>
    </xf>
    <xf numFmtId="1" fontId="115" fillId="34" borderId="48" xfId="132" applyNumberFormat="1" applyFont="1" applyFill="1" applyBorder="1" applyAlignment="1">
      <alignment horizontal="center" vertical="center"/>
    </xf>
    <xf numFmtId="3" fontId="125" fillId="0" borderId="95" xfId="0" applyNumberFormat="1" applyFont="1" applyBorder="1" applyAlignment="1">
      <alignment horizontal="center" vertical="center"/>
    </xf>
    <xf numFmtId="1" fontId="115" fillId="37" borderId="48" xfId="0" applyNumberFormat="1" applyFont="1" applyFill="1" applyBorder="1" applyAlignment="1">
      <alignment horizontal="center" vertical="center" wrapText="1"/>
    </xf>
    <xf numFmtId="1" fontId="125" fillId="37" borderId="95" xfId="0" applyNumberFormat="1" applyFont="1" applyFill="1" applyBorder="1" applyAlignment="1">
      <alignment horizontal="center" vertical="center" wrapText="1"/>
    </xf>
    <xf numFmtId="1" fontId="125" fillId="37" borderId="48" xfId="0" applyNumberFormat="1" applyFont="1" applyFill="1" applyBorder="1" applyAlignment="1">
      <alignment horizontal="center" vertical="center" wrapText="1"/>
    </xf>
    <xf numFmtId="3" fontId="125" fillId="37" borderId="95" xfId="0" applyNumberFormat="1" applyFont="1" applyFill="1" applyBorder="1" applyAlignment="1">
      <alignment horizontal="center" vertical="center" wrapText="1"/>
    </xf>
    <xf numFmtId="169" fontId="125" fillId="37" borderId="48" xfId="132" applyNumberFormat="1" applyFont="1" applyFill="1" applyBorder="1" applyAlignment="1">
      <alignment horizontal="center" vertical="center" wrapText="1"/>
    </xf>
    <xf numFmtId="9" fontId="125" fillId="37" borderId="48" xfId="132" applyFont="1" applyFill="1" applyBorder="1" applyAlignment="1">
      <alignment horizontal="center" vertical="center" wrapText="1"/>
    </xf>
    <xf numFmtId="169" fontId="125" fillId="37" borderId="50" xfId="132" applyNumberFormat="1" applyFont="1" applyFill="1" applyBorder="1" applyAlignment="1">
      <alignment horizontal="center" vertical="center" wrapText="1"/>
    </xf>
    <xf numFmtId="0" fontId="121" fillId="0" borderId="0" xfId="186" applyFont="1"/>
    <xf numFmtId="0" fontId="117" fillId="0" borderId="0" xfId="39" applyFont="1" applyBorder="1" applyAlignment="1" applyProtection="1">
      <alignment horizontal="right"/>
    </xf>
    <xf numFmtId="0" fontId="120" fillId="0" borderId="0" xfId="186" applyFont="1"/>
    <xf numFmtId="0" fontId="124" fillId="0" borderId="0" xfId="186" applyFont="1" applyAlignment="1">
      <alignment horizontal="center" vertical="center" wrapText="1"/>
    </xf>
    <xf numFmtId="0" fontId="152" fillId="34" borderId="0" xfId="186" applyFont="1" applyFill="1"/>
    <xf numFmtId="0" fontId="116" fillId="0" borderId="0" xfId="186" applyFont="1"/>
    <xf numFmtId="9" fontId="120" fillId="0" borderId="0" xfId="132" applyFont="1" applyAlignment="1">
      <alignment horizontal="left" vertical="center"/>
    </xf>
    <xf numFmtId="3" fontId="125" fillId="34" borderId="0" xfId="186" applyNumberFormat="1" applyFont="1" applyFill="1" applyAlignment="1">
      <alignment horizontal="center"/>
    </xf>
    <xf numFmtId="3" fontId="115" fillId="34" borderId="0" xfId="186" applyNumberFormat="1" applyFont="1" applyFill="1" applyAlignment="1">
      <alignment horizontal="center"/>
    </xf>
    <xf numFmtId="9" fontId="114" fillId="0" borderId="0" xfId="132" applyFont="1" applyAlignment="1">
      <alignment horizontal="left" vertical="center"/>
    </xf>
    <xf numFmtId="0" fontId="132" fillId="50" borderId="37" xfId="186" applyFont="1" applyFill="1" applyBorder="1" applyAlignment="1">
      <alignment horizontal="left" vertical="center"/>
    </xf>
    <xf numFmtId="173" fontId="125" fillId="50" borderId="38" xfId="186" applyNumberFormat="1" applyFont="1" applyFill="1" applyBorder="1" applyAlignment="1">
      <alignment horizontal="center" vertical="center" wrapText="1"/>
    </xf>
    <xf numFmtId="173" fontId="125" fillId="50" borderId="44" xfId="186" applyNumberFormat="1" applyFont="1" applyFill="1" applyBorder="1" applyAlignment="1">
      <alignment horizontal="center" vertical="center" wrapText="1"/>
    </xf>
    <xf numFmtId="0" fontId="132" fillId="34" borderId="39" xfId="186" applyFont="1" applyFill="1" applyBorder="1"/>
    <xf numFmtId="3" fontId="125" fillId="0" borderId="0" xfId="186" applyNumberFormat="1" applyFont="1" applyAlignment="1">
      <alignment horizontal="center"/>
    </xf>
    <xf numFmtId="3" fontId="125" fillId="48" borderId="45" xfId="186" applyNumberFormat="1" applyFont="1" applyFill="1" applyBorder="1" applyAlignment="1">
      <alignment horizontal="center"/>
    </xf>
    <xf numFmtId="0" fontId="125" fillId="34" borderId="39" xfId="186" applyFont="1" applyFill="1" applyBorder="1"/>
    <xf numFmtId="0" fontId="115" fillId="34" borderId="39" xfId="186" applyFont="1" applyFill="1" applyBorder="1"/>
    <xf numFmtId="3" fontId="115" fillId="0" borderId="0" xfId="186" applyNumberFormat="1" applyFont="1" applyAlignment="1">
      <alignment horizontal="center"/>
    </xf>
    <xf numFmtId="3" fontId="115" fillId="48" borderId="45" xfId="186" applyNumberFormat="1" applyFont="1" applyFill="1" applyBorder="1" applyAlignment="1">
      <alignment horizontal="center"/>
    </xf>
    <xf numFmtId="0" fontId="125" fillId="34" borderId="41" xfId="186" applyFont="1" applyFill="1" applyBorder="1"/>
    <xf numFmtId="169" fontId="125" fillId="34" borderId="42" xfId="132" applyNumberFormat="1" applyFont="1" applyFill="1" applyBorder="1" applyAlignment="1">
      <alignment horizontal="center"/>
    </xf>
    <xf numFmtId="169" fontId="125" fillId="0" borderId="42" xfId="132" applyNumberFormat="1" applyFont="1" applyFill="1" applyBorder="1" applyAlignment="1">
      <alignment horizontal="center"/>
    </xf>
    <xf numFmtId="169" fontId="125" fillId="48" borderId="49" xfId="132" applyNumberFormat="1" applyFont="1" applyFill="1" applyBorder="1" applyAlignment="1">
      <alignment horizontal="center"/>
    </xf>
    <xf numFmtId="173" fontId="125" fillId="50" borderId="47" xfId="186" applyNumberFormat="1" applyFont="1" applyFill="1" applyBorder="1" applyAlignment="1">
      <alignment horizontal="center" vertical="center" wrapText="1"/>
    </xf>
    <xf numFmtId="0" fontId="119" fillId="0" borderId="0" xfId="39" applyFont="1" applyBorder="1" applyAlignment="1" applyProtection="1">
      <alignment horizontal="right"/>
    </xf>
    <xf numFmtId="169" fontId="125" fillId="34" borderId="0" xfId="132" applyNumberFormat="1" applyFont="1" applyFill="1" applyBorder="1" applyAlignment="1">
      <alignment horizontal="center"/>
    </xf>
    <xf numFmtId="169" fontId="125" fillId="0" borderId="0" xfId="132" applyNumberFormat="1" applyFont="1" applyFill="1" applyBorder="1" applyAlignment="1">
      <alignment horizontal="center"/>
    </xf>
    <xf numFmtId="169" fontId="115" fillId="34" borderId="0" xfId="132" applyNumberFormat="1" applyFont="1" applyFill="1" applyBorder="1" applyAlignment="1">
      <alignment horizontal="center"/>
    </xf>
    <xf numFmtId="169" fontId="115" fillId="0" borderId="0" xfId="132" applyNumberFormat="1" applyFont="1" applyFill="1" applyBorder="1" applyAlignment="1">
      <alignment horizontal="center"/>
    </xf>
    <xf numFmtId="0" fontId="153" fillId="34" borderId="0" xfId="186" applyFont="1" applyFill="1"/>
    <xf numFmtId="0" fontId="115" fillId="0" borderId="0" xfId="186" applyFont="1"/>
    <xf numFmtId="0" fontId="125" fillId="0" borderId="0" xfId="186" applyFont="1" applyAlignment="1">
      <alignment horizontal="center" vertical="center" wrapText="1"/>
    </xf>
    <xf numFmtId="0" fontId="115" fillId="34" borderId="39" xfId="186" applyFont="1" applyFill="1" applyBorder="1" applyAlignment="1">
      <alignment horizontal="left" vertical="center"/>
    </xf>
    <xf numFmtId="0" fontId="125" fillId="34" borderId="39" xfId="186" applyFont="1" applyFill="1" applyBorder="1" applyAlignment="1">
      <alignment horizontal="left" vertical="center"/>
    </xf>
    <xf numFmtId="0" fontId="132" fillId="0" borderId="39" xfId="186" applyFont="1" applyBorder="1"/>
    <xf numFmtId="0" fontId="125" fillId="0" borderId="39" xfId="186" applyFont="1" applyBorder="1"/>
    <xf numFmtId="0" fontId="115" fillId="0" borderId="39" xfId="186" applyFont="1" applyBorder="1"/>
    <xf numFmtId="0" fontId="115" fillId="34" borderId="0" xfId="186" applyFont="1" applyFill="1"/>
    <xf numFmtId="0" fontId="150" fillId="0" borderId="0" xfId="184" applyFont="1"/>
    <xf numFmtId="174" fontId="150" fillId="0" borderId="0" xfId="184" applyNumberFormat="1" applyFont="1"/>
    <xf numFmtId="0" fontId="154" fillId="0" borderId="0" xfId="184" applyFont="1"/>
    <xf numFmtId="174" fontId="154" fillId="0" borderId="0" xfId="184" applyNumberFormat="1" applyFont="1"/>
    <xf numFmtId="0" fontId="115" fillId="34" borderId="41" xfId="186" applyFont="1" applyFill="1" applyBorder="1" applyAlignment="1">
      <alignment horizontal="left" vertical="center"/>
    </xf>
    <xf numFmtId="3" fontId="115" fillId="34" borderId="42" xfId="186" applyNumberFormat="1" applyFont="1" applyFill="1" applyBorder="1" applyAlignment="1">
      <alignment horizontal="center"/>
    </xf>
    <xf numFmtId="3" fontId="115" fillId="0" borderId="42" xfId="186" applyNumberFormat="1" applyFont="1" applyBorder="1" applyAlignment="1">
      <alignment horizontal="center"/>
    </xf>
    <xf numFmtId="3" fontId="115" fillId="48" borderId="49" xfId="186" applyNumberFormat="1" applyFont="1" applyFill="1" applyBorder="1" applyAlignment="1">
      <alignment horizontal="center"/>
    </xf>
    <xf numFmtId="3" fontId="125" fillId="36" borderId="0" xfId="186" applyNumberFormat="1" applyFont="1" applyFill="1" applyAlignment="1">
      <alignment horizontal="center"/>
    </xf>
    <xf numFmtId="0" fontId="125" fillId="36" borderId="0" xfId="186" applyFont="1" applyFill="1" applyAlignment="1">
      <alignment horizontal="center"/>
    </xf>
    <xf numFmtId="3" fontId="115" fillId="36" borderId="0" xfId="186" applyNumberFormat="1" applyFont="1" applyFill="1" applyAlignment="1">
      <alignment horizontal="center"/>
    </xf>
    <xf numFmtId="0" fontId="153" fillId="0" borderId="0" xfId="186" applyFont="1"/>
    <xf numFmtId="0" fontId="125" fillId="50" borderId="37" xfId="186" applyFont="1" applyFill="1" applyBorder="1" applyAlignment="1">
      <alignment horizontal="left" vertical="center"/>
    </xf>
    <xf numFmtId="3" fontId="125" fillId="54" borderId="45" xfId="186" applyNumberFormat="1" applyFont="1" applyFill="1" applyBorder="1" applyAlignment="1">
      <alignment horizontal="center"/>
    </xf>
    <xf numFmtId="0" fontId="125" fillId="0" borderId="0" xfId="186" applyFont="1" applyAlignment="1">
      <alignment horizontal="center"/>
    </xf>
    <xf numFmtId="0" fontId="125" fillId="54" borderId="45" xfId="186" applyFont="1" applyFill="1" applyBorder="1" applyAlignment="1">
      <alignment horizontal="center"/>
    </xf>
    <xf numFmtId="0" fontId="125" fillId="0" borderId="39" xfId="186" applyFont="1" applyBorder="1" applyAlignment="1">
      <alignment horizontal="left" vertical="center"/>
    </xf>
    <xf numFmtId="0" fontId="115" fillId="0" borderId="39" xfId="186" applyFont="1" applyBorder="1" applyAlignment="1">
      <alignment horizontal="left" vertical="center" indent="1"/>
    </xf>
    <xf numFmtId="3" fontId="115" fillId="54" borderId="45" xfId="186" applyNumberFormat="1" applyFont="1" applyFill="1" applyBorder="1" applyAlignment="1">
      <alignment horizontal="center"/>
    </xf>
    <xf numFmtId="0" fontId="125" fillId="0" borderId="41" xfId="186" applyFont="1" applyBorder="1"/>
    <xf numFmtId="194" fontId="125" fillId="34" borderId="42" xfId="353" applyNumberFormat="1" applyFont="1" applyFill="1" applyBorder="1" applyAlignment="1">
      <alignment horizontal="center"/>
    </xf>
    <xf numFmtId="194" fontId="125" fillId="0" borderId="42" xfId="353" applyNumberFormat="1" applyFont="1" applyFill="1" applyBorder="1" applyAlignment="1">
      <alignment horizontal="center"/>
    </xf>
    <xf numFmtId="194" fontId="125" fillId="48" borderId="49" xfId="353" applyNumberFormat="1" applyFont="1" applyFill="1" applyBorder="1" applyAlignment="1">
      <alignment horizontal="center"/>
    </xf>
    <xf numFmtId="0" fontId="156" fillId="0" borderId="0" xfId="186" applyFont="1"/>
    <xf numFmtId="0" fontId="157" fillId="0" borderId="0" xfId="39" applyFont="1" applyBorder="1" applyAlignment="1" applyProtection="1">
      <alignment horizontal="right"/>
    </xf>
    <xf numFmtId="0" fontId="158" fillId="0" borderId="0" xfId="184" applyFont="1" applyAlignment="1">
      <alignment horizontal="center" vertical="center"/>
    </xf>
    <xf numFmtId="0" fontId="155" fillId="0" borderId="0" xfId="186" applyFont="1"/>
    <xf numFmtId="0" fontId="155" fillId="0" borderId="0" xfId="186" applyFont="1" applyAlignment="1">
      <alignment horizontal="center" vertical="center" wrapText="1"/>
    </xf>
    <xf numFmtId="0" fontId="114" fillId="34" borderId="0" xfId="0" applyFont="1" applyFill="1"/>
    <xf numFmtId="179" fontId="155" fillId="34" borderId="0" xfId="186" applyNumberFormat="1" applyFont="1" applyFill="1" applyAlignment="1">
      <alignment horizontal="left" vertical="center" wrapText="1"/>
    </xf>
    <xf numFmtId="3" fontId="155" fillId="34" borderId="0" xfId="186" applyNumberFormat="1" applyFont="1" applyFill="1" applyAlignment="1">
      <alignment horizontal="center"/>
    </xf>
    <xf numFmtId="179" fontId="159" fillId="34" borderId="0" xfId="186" applyNumberFormat="1" applyFont="1" applyFill="1" applyAlignment="1">
      <alignment horizontal="left" vertical="center" wrapText="1"/>
    </xf>
    <xf numFmtId="169" fontId="159" fillId="34" borderId="0" xfId="132" applyNumberFormat="1" applyFont="1" applyFill="1" applyBorder="1" applyAlignment="1">
      <alignment horizontal="center"/>
    </xf>
    <xf numFmtId="169" fontId="114" fillId="34" borderId="0" xfId="0" applyNumberFormat="1" applyFont="1" applyFill="1"/>
    <xf numFmtId="173" fontId="159" fillId="48" borderId="0" xfId="186" applyNumberFormat="1" applyFont="1" applyFill="1" applyAlignment="1">
      <alignment horizontal="center" vertical="center" wrapText="1"/>
    </xf>
    <xf numFmtId="0" fontId="114" fillId="34" borderId="48" xfId="0" applyFont="1" applyFill="1" applyBorder="1"/>
    <xf numFmtId="173" fontId="159" fillId="48" borderId="48" xfId="186" applyNumberFormat="1" applyFont="1" applyFill="1" applyBorder="1" applyAlignment="1">
      <alignment horizontal="center" vertical="center" wrapText="1"/>
    </xf>
    <xf numFmtId="3" fontId="155" fillId="34" borderId="48" xfId="186" applyNumberFormat="1" applyFont="1" applyFill="1" applyBorder="1" applyAlignment="1">
      <alignment horizontal="center"/>
    </xf>
    <xf numFmtId="169" fontId="159" fillId="34" borderId="48" xfId="132" applyNumberFormat="1" applyFont="1" applyFill="1" applyBorder="1" applyAlignment="1">
      <alignment horizontal="center"/>
    </xf>
    <xf numFmtId="169" fontId="114" fillId="34" borderId="48" xfId="0" applyNumberFormat="1" applyFont="1" applyFill="1" applyBorder="1"/>
    <xf numFmtId="0" fontId="114" fillId="34" borderId="0" xfId="0" applyFont="1" applyFill="1" applyAlignment="1">
      <alignment horizontal="center"/>
    </xf>
    <xf numFmtId="0" fontId="114" fillId="34" borderId="48" xfId="0" applyFont="1" applyFill="1" applyBorder="1" applyAlignment="1">
      <alignment horizontal="center"/>
    </xf>
    <xf numFmtId="179" fontId="155" fillId="34" borderId="38" xfId="186" applyNumberFormat="1" applyFont="1" applyFill="1" applyBorder="1" applyAlignment="1">
      <alignment horizontal="left" vertical="center" wrapText="1"/>
    </xf>
    <xf numFmtId="3" fontId="155" fillId="34" borderId="38" xfId="186" applyNumberFormat="1" applyFont="1" applyFill="1" applyBorder="1" applyAlignment="1">
      <alignment horizontal="center"/>
    </xf>
    <xf numFmtId="3" fontId="155" fillId="34" borderId="47" xfId="186" applyNumberFormat="1" applyFont="1" applyFill="1" applyBorder="1" applyAlignment="1">
      <alignment horizontal="center"/>
    </xf>
    <xf numFmtId="173" fontId="159" fillId="48" borderId="0" xfId="186" applyNumberFormat="1" applyFont="1" applyFill="1" applyAlignment="1">
      <alignment horizontal="left" vertical="center" wrapText="1"/>
    </xf>
    <xf numFmtId="179" fontId="159" fillId="34" borderId="42" xfId="186" applyNumberFormat="1" applyFont="1" applyFill="1" applyBorder="1" applyAlignment="1">
      <alignment horizontal="left" vertical="center" wrapText="1"/>
    </xf>
    <xf numFmtId="0" fontId="114" fillId="34" borderId="42" xfId="0" applyFont="1" applyFill="1" applyBorder="1"/>
    <xf numFmtId="0" fontId="114" fillId="34" borderId="50" xfId="0" applyFont="1" applyFill="1" applyBorder="1"/>
    <xf numFmtId="173" fontId="140" fillId="50" borderId="38" xfId="186" applyNumberFormat="1" applyFont="1" applyFill="1" applyBorder="1" applyAlignment="1">
      <alignment horizontal="center" vertical="center" wrapText="1"/>
    </xf>
    <xf numFmtId="0" fontId="121" fillId="0" borderId="0" xfId="186" applyFont="1" applyAlignment="1">
      <alignment horizontal="center"/>
    </xf>
    <xf numFmtId="0" fontId="119" fillId="0" borderId="0" xfId="39" applyFont="1" applyBorder="1" applyAlignment="1" applyProtection="1">
      <alignment horizontal="center"/>
    </xf>
    <xf numFmtId="0" fontId="120" fillId="0" borderId="0" xfId="186" applyFont="1" applyAlignment="1">
      <alignment horizontal="center"/>
    </xf>
    <xf numFmtId="0" fontId="159" fillId="50" borderId="37" xfId="186" applyFont="1" applyFill="1" applyBorder="1" applyAlignment="1">
      <alignment horizontal="left" vertical="center"/>
    </xf>
    <xf numFmtId="173" fontId="159" fillId="50" borderId="38" xfId="186" applyNumberFormat="1" applyFont="1" applyFill="1" applyBorder="1" applyAlignment="1">
      <alignment horizontal="center" vertical="center" wrapText="1"/>
    </xf>
    <xf numFmtId="173" fontId="159" fillId="50" borderId="44" xfId="186" applyNumberFormat="1" applyFont="1" applyFill="1" applyBorder="1" applyAlignment="1">
      <alignment horizontal="center" vertical="center" wrapText="1"/>
    </xf>
    <xf numFmtId="0" fontId="115" fillId="0" borderId="0" xfId="186" applyFont="1" applyAlignment="1">
      <alignment horizontal="center"/>
    </xf>
    <xf numFmtId="0" fontId="120" fillId="0" borderId="0" xfId="0" applyFont="1"/>
    <xf numFmtId="0" fontId="114" fillId="0" borderId="0" xfId="0" applyFont="1"/>
    <xf numFmtId="3" fontId="115" fillId="34" borderId="0" xfId="0" applyNumberFormat="1" applyFont="1" applyFill="1" applyAlignment="1">
      <alignment horizontal="center" vertical="center" wrapText="1"/>
    </xf>
    <xf numFmtId="3" fontId="155" fillId="34" borderId="0" xfId="0" applyNumberFormat="1" applyFont="1" applyFill="1" applyAlignment="1">
      <alignment horizontal="center" vertical="center"/>
    </xf>
    <xf numFmtId="0" fontId="133" fillId="0" borderId="0" xfId="0" applyFont="1" applyAlignment="1">
      <alignment vertical="center" wrapText="1"/>
    </xf>
    <xf numFmtId="3" fontId="114" fillId="34" borderId="0" xfId="0" applyNumberFormat="1" applyFont="1" applyFill="1" applyAlignment="1">
      <alignment vertical="center"/>
    </xf>
    <xf numFmtId="0" fontId="115" fillId="0" borderId="0" xfId="0" applyFont="1"/>
    <xf numFmtId="3" fontId="115" fillId="0" borderId="0" xfId="0" applyNumberFormat="1" applyFont="1"/>
    <xf numFmtId="4" fontId="115" fillId="34" borderId="0" xfId="0" applyNumberFormat="1" applyFont="1" applyFill="1" applyAlignment="1">
      <alignment horizontal="center" vertical="center"/>
    </xf>
    <xf numFmtId="0" fontId="115" fillId="34" borderId="0" xfId="0" applyFont="1" applyFill="1" applyAlignment="1">
      <alignment horizontal="center" vertical="center" wrapText="1"/>
    </xf>
    <xf numFmtId="0" fontId="132" fillId="50" borderId="37" xfId="0" applyFont="1" applyFill="1" applyBorder="1" applyAlignment="1">
      <alignment vertical="center" wrapText="1"/>
    </xf>
    <xf numFmtId="0" fontId="115" fillId="0" borderId="0" xfId="0" applyFont="1" applyAlignment="1">
      <alignment horizontal="center" vertical="center" wrapText="1"/>
    </xf>
    <xf numFmtId="0" fontId="115" fillId="48" borderId="45" xfId="0" applyFont="1" applyFill="1" applyBorder="1" applyAlignment="1">
      <alignment horizontal="center" vertical="center" wrapText="1"/>
    </xf>
    <xf numFmtId="0" fontId="115" fillId="0" borderId="41" xfId="0" applyFont="1" applyBorder="1" applyAlignment="1">
      <alignment horizontal="left" vertical="center"/>
    </xf>
    <xf numFmtId="0" fontId="115" fillId="34" borderId="42" xfId="0" applyFont="1" applyFill="1" applyBorder="1" applyAlignment="1">
      <alignment horizontal="center" vertical="center" wrapText="1"/>
    </xf>
    <xf numFmtId="0" fontId="115" fillId="0" borderId="42" xfId="0" applyFont="1" applyBorder="1" applyAlignment="1">
      <alignment horizontal="center" vertical="center" wrapText="1"/>
    </xf>
    <xf numFmtId="4" fontId="115" fillId="0" borderId="0" xfId="0" applyNumberFormat="1" applyFont="1" applyAlignment="1">
      <alignment horizontal="center" vertical="center"/>
    </xf>
    <xf numFmtId="4" fontId="115" fillId="48" borderId="45" xfId="0" applyNumberFormat="1" applyFont="1" applyFill="1" applyBorder="1" applyAlignment="1">
      <alignment horizontal="center" vertical="center"/>
    </xf>
    <xf numFmtId="0" fontId="115" fillId="34" borderId="41" xfId="0" applyFont="1" applyFill="1" applyBorder="1" applyAlignment="1">
      <alignment horizontal="left" vertical="center" wrapText="1"/>
    </xf>
    <xf numFmtId="199" fontId="115" fillId="34" borderId="42" xfId="0" applyNumberFormat="1" applyFont="1" applyFill="1" applyBorder="1" applyAlignment="1">
      <alignment horizontal="center" vertical="center"/>
    </xf>
    <xf numFmtId="199" fontId="115" fillId="0" borderId="42" xfId="0" applyNumberFormat="1" applyFont="1" applyBorder="1" applyAlignment="1">
      <alignment horizontal="center" vertical="center"/>
    </xf>
    <xf numFmtId="199" fontId="115" fillId="48" borderId="49" xfId="0" applyNumberFormat="1" applyFont="1" applyFill="1" applyBorder="1" applyAlignment="1">
      <alignment horizontal="center" vertical="center"/>
    </xf>
    <xf numFmtId="0" fontId="115" fillId="0" borderId="39" xfId="0" applyFont="1" applyBorder="1" applyAlignment="1">
      <alignment vertical="center" wrapText="1"/>
    </xf>
    <xf numFmtId="0" fontId="115" fillId="0" borderId="41" xfId="0" applyFont="1" applyBorder="1" applyAlignment="1">
      <alignment vertical="center" wrapText="1"/>
    </xf>
    <xf numFmtId="3" fontId="115" fillId="34" borderId="42" xfId="0" applyNumberFormat="1" applyFont="1" applyFill="1" applyBorder="1" applyAlignment="1">
      <alignment horizontal="center" vertical="center"/>
    </xf>
    <xf numFmtId="3" fontId="115" fillId="0" borderId="42" xfId="0" applyNumberFormat="1" applyFont="1" applyBorder="1" applyAlignment="1">
      <alignment horizontal="center" vertical="center"/>
    </xf>
    <xf numFmtId="3" fontId="115" fillId="48" borderId="49" xfId="0" applyNumberFormat="1" applyFont="1" applyFill="1" applyBorder="1" applyAlignment="1">
      <alignment horizontal="center" vertical="center"/>
    </xf>
    <xf numFmtId="0" fontId="125" fillId="0" borderId="39" xfId="0" applyFont="1" applyBorder="1" applyAlignment="1">
      <alignment horizontal="left" vertical="center" indent="2"/>
    </xf>
    <xf numFmtId="3" fontId="115" fillId="0" borderId="0" xfId="0" applyNumberFormat="1" applyFont="1" applyAlignment="1">
      <alignment horizontal="center" vertical="center" wrapText="1"/>
    </xf>
    <xf numFmtId="3" fontId="115" fillId="48" borderId="45" xfId="0" applyNumberFormat="1" applyFont="1" applyFill="1" applyBorder="1" applyAlignment="1">
      <alignment horizontal="center" vertical="center" wrapText="1"/>
    </xf>
    <xf numFmtId="3" fontId="115" fillId="34" borderId="42" xfId="0" applyNumberFormat="1" applyFont="1" applyFill="1" applyBorder="1" applyAlignment="1">
      <alignment horizontal="center" vertical="center" wrapText="1"/>
    </xf>
    <xf numFmtId="3" fontId="115" fillId="0" borderId="42" xfId="0" applyNumberFormat="1" applyFont="1" applyBorder="1" applyAlignment="1">
      <alignment horizontal="center" vertical="center" wrapText="1"/>
    </xf>
    <xf numFmtId="3" fontId="115" fillId="48" borderId="49" xfId="0" applyNumberFormat="1" applyFont="1" applyFill="1" applyBorder="1" applyAlignment="1">
      <alignment horizontal="center" vertical="center" wrapText="1"/>
    </xf>
    <xf numFmtId="0" fontId="125" fillId="0" borderId="97" xfId="0" applyFont="1" applyBorder="1" applyAlignment="1">
      <alignment horizontal="left" vertical="center"/>
    </xf>
    <xf numFmtId="3" fontId="125" fillId="34" borderId="98" xfId="0" applyNumberFormat="1" applyFont="1" applyFill="1" applyBorder="1" applyAlignment="1">
      <alignment horizontal="center" vertical="center"/>
    </xf>
    <xf numFmtId="3" fontId="125" fillId="0" borderId="98" xfId="0" applyNumberFormat="1" applyFont="1" applyBorder="1" applyAlignment="1">
      <alignment horizontal="center" vertical="center"/>
    </xf>
    <xf numFmtId="0" fontId="115" fillId="0" borderId="101" xfId="0" applyFont="1" applyBorder="1" applyAlignment="1">
      <alignment horizontal="left" vertical="center" indent="4"/>
    </xf>
    <xf numFmtId="3" fontId="115" fillId="34" borderId="102" xfId="0" applyNumberFormat="1" applyFont="1" applyFill="1" applyBorder="1" applyAlignment="1">
      <alignment horizontal="center" vertical="center"/>
    </xf>
    <xf numFmtId="3" fontId="115" fillId="0" borderId="102" xfId="0" applyNumberFormat="1" applyFont="1" applyBorder="1" applyAlignment="1">
      <alignment horizontal="center" vertical="center"/>
    </xf>
    <xf numFmtId="3" fontId="115" fillId="48" borderId="104" xfId="0" applyNumberFormat="1" applyFont="1" applyFill="1" applyBorder="1" applyAlignment="1">
      <alignment horizontal="center" vertical="center"/>
    </xf>
    <xf numFmtId="0" fontId="155" fillId="0" borderId="41" xfId="0" applyFont="1" applyBorder="1" applyAlignment="1">
      <alignment horizontal="left" vertical="center" indent="2"/>
    </xf>
    <xf numFmtId="0" fontId="155" fillId="0" borderId="39" xfId="0" applyFont="1" applyBorder="1" applyAlignment="1">
      <alignment horizontal="left" vertical="center" indent="2"/>
    </xf>
    <xf numFmtId="0" fontId="125" fillId="0" borderId="41" xfId="0" applyFont="1" applyBorder="1" applyAlignment="1">
      <alignment horizontal="left" vertical="center" indent="2"/>
    </xf>
    <xf numFmtId="0" fontId="125" fillId="0" borderId="93" xfId="0" applyFont="1" applyBorder="1" applyAlignment="1">
      <alignment horizontal="left" vertical="center" indent="2"/>
    </xf>
    <xf numFmtId="3" fontId="125" fillId="34" borderId="94" xfId="0" applyNumberFormat="1" applyFont="1" applyFill="1" applyBorder="1" applyAlignment="1">
      <alignment horizontal="center" vertical="center"/>
    </xf>
    <xf numFmtId="3" fontId="115" fillId="51" borderId="14" xfId="0" applyNumberFormat="1" applyFont="1" applyFill="1" applyBorder="1" applyAlignment="1">
      <alignment horizontal="center" vertical="center"/>
    </xf>
    <xf numFmtId="3" fontId="125" fillId="51" borderId="29" xfId="0" applyNumberFormat="1" applyFont="1" applyFill="1" applyBorder="1" applyAlignment="1">
      <alignment horizontal="center" vertical="center"/>
    </xf>
    <xf numFmtId="1" fontId="115" fillId="51" borderId="14" xfId="0" applyNumberFormat="1" applyFont="1" applyFill="1" applyBorder="1" applyAlignment="1">
      <alignment horizontal="center" vertical="center"/>
    </xf>
    <xf numFmtId="1" fontId="115" fillId="51" borderId="29" xfId="0" applyNumberFormat="1" applyFont="1" applyFill="1" applyBorder="1" applyAlignment="1">
      <alignment horizontal="center" vertical="center"/>
    </xf>
    <xf numFmtId="169" fontId="125" fillId="51" borderId="14" xfId="132" applyNumberFormat="1" applyFont="1" applyFill="1" applyBorder="1" applyAlignment="1">
      <alignment horizontal="center" vertical="center"/>
    </xf>
    <xf numFmtId="9" fontId="125" fillId="51" borderId="14" xfId="132" applyFont="1" applyFill="1" applyBorder="1" applyAlignment="1">
      <alignment horizontal="center" vertical="center"/>
    </xf>
    <xf numFmtId="169" fontId="125" fillId="51" borderId="15" xfId="132" applyNumberFormat="1" applyFont="1" applyFill="1" applyBorder="1" applyAlignment="1">
      <alignment horizontal="center" vertical="center"/>
    </xf>
    <xf numFmtId="3" fontId="125" fillId="48" borderId="100" xfId="0" applyNumberFormat="1" applyFont="1" applyFill="1" applyBorder="1" applyAlignment="1">
      <alignment horizontal="center" vertical="center"/>
    </xf>
    <xf numFmtId="3" fontId="50" fillId="0" borderId="0" xfId="0" applyNumberFormat="1" applyFont="1" applyAlignment="1">
      <alignment vertical="center"/>
    </xf>
    <xf numFmtId="0" fontId="125" fillId="0" borderId="0" xfId="0" applyFont="1" applyAlignment="1">
      <alignment horizontal="left" vertical="center" wrapText="1"/>
    </xf>
    <xf numFmtId="0" fontId="125" fillId="0" borderId="107" xfId="0" applyFont="1" applyBorder="1" applyAlignment="1">
      <alignment horizontal="left" vertical="center" wrapText="1"/>
    </xf>
    <xf numFmtId="3" fontId="125" fillId="34" borderId="108" xfId="0" applyNumberFormat="1" applyFont="1" applyFill="1" applyBorder="1" applyAlignment="1">
      <alignment horizontal="center" vertical="center"/>
    </xf>
    <xf numFmtId="3" fontId="125" fillId="48" borderId="109" xfId="0" applyNumberFormat="1" applyFont="1" applyFill="1" applyBorder="1" applyAlignment="1">
      <alignment horizontal="center" vertical="center"/>
    </xf>
    <xf numFmtId="0" fontId="162" fillId="50" borderId="93" xfId="0" applyFont="1" applyFill="1" applyBorder="1" applyAlignment="1">
      <alignment horizontal="left" vertical="center" wrapText="1"/>
    </xf>
    <xf numFmtId="0" fontId="140" fillId="50" borderId="97" xfId="0" applyFont="1" applyFill="1" applyBorder="1" applyAlignment="1">
      <alignment horizontal="left" vertical="center" wrapText="1"/>
    </xf>
    <xf numFmtId="10" fontId="125" fillId="50" borderId="98" xfId="132" applyNumberFormat="1" applyFont="1" applyFill="1" applyBorder="1" applyAlignment="1">
      <alignment horizontal="center" vertical="center" wrapText="1"/>
    </xf>
    <xf numFmtId="10" fontId="125" fillId="50" borderId="99" xfId="132" applyNumberFormat="1" applyFont="1" applyFill="1" applyBorder="1" applyAlignment="1">
      <alignment horizontal="center" vertical="center" wrapText="1"/>
    </xf>
    <xf numFmtId="10" fontId="125" fillId="50" borderId="100" xfId="132" applyNumberFormat="1" applyFont="1" applyFill="1" applyBorder="1" applyAlignment="1">
      <alignment horizontal="center" vertical="center" wrapText="1"/>
    </xf>
    <xf numFmtId="10" fontId="125" fillId="50" borderId="102" xfId="132" applyNumberFormat="1" applyFont="1" applyFill="1" applyBorder="1" applyAlignment="1">
      <alignment horizontal="center" vertical="center" wrapText="1"/>
    </xf>
    <xf numFmtId="0" fontId="140" fillId="50" borderId="110" xfId="0" applyFont="1" applyFill="1" applyBorder="1" applyAlignment="1">
      <alignment horizontal="left" vertical="center" wrapText="1"/>
    </xf>
    <xf numFmtId="10" fontId="125" fillId="50" borderId="111" xfId="132" applyNumberFormat="1" applyFont="1" applyFill="1" applyBorder="1" applyAlignment="1">
      <alignment horizontal="center" vertical="center" wrapText="1"/>
    </xf>
    <xf numFmtId="10" fontId="125" fillId="50" borderId="112" xfId="132" applyNumberFormat="1" applyFont="1" applyFill="1" applyBorder="1" applyAlignment="1">
      <alignment horizontal="center" vertical="center" wrapText="1"/>
    </xf>
    <xf numFmtId="10" fontId="125" fillId="50" borderId="113" xfId="132" applyNumberFormat="1" applyFont="1" applyFill="1" applyBorder="1" applyAlignment="1">
      <alignment horizontal="center" vertical="center" wrapText="1"/>
    </xf>
    <xf numFmtId="0" fontId="162" fillId="50" borderId="114" xfId="0" applyFont="1" applyFill="1" applyBorder="1" applyAlignment="1">
      <alignment horizontal="left" vertical="center" wrapText="1"/>
    </xf>
    <xf numFmtId="0" fontId="140" fillId="50" borderId="39" xfId="0" applyFont="1" applyFill="1" applyBorder="1" applyAlignment="1">
      <alignment horizontal="left" vertical="center" wrapText="1"/>
    </xf>
    <xf numFmtId="10" fontId="125" fillId="50" borderId="0" xfId="132" applyNumberFormat="1" applyFont="1" applyFill="1" applyBorder="1" applyAlignment="1">
      <alignment horizontal="center" vertical="center" wrapText="1"/>
    </xf>
    <xf numFmtId="10" fontId="125" fillId="50" borderId="48" xfId="132" applyNumberFormat="1" applyFont="1" applyFill="1" applyBorder="1" applyAlignment="1">
      <alignment horizontal="center" vertical="center" wrapText="1"/>
    </xf>
    <xf numFmtId="10" fontId="125" fillId="50" borderId="45" xfId="132" applyNumberFormat="1" applyFont="1" applyFill="1" applyBorder="1" applyAlignment="1">
      <alignment horizontal="center" vertical="center" wrapText="1"/>
    </xf>
    <xf numFmtId="10" fontId="115" fillId="50" borderId="94" xfId="132" applyNumberFormat="1" applyFont="1" applyFill="1" applyBorder="1" applyAlignment="1">
      <alignment horizontal="center" vertical="center" wrapText="1"/>
    </xf>
    <xf numFmtId="10" fontId="115" fillId="50" borderId="95" xfId="132" applyNumberFormat="1" applyFont="1" applyFill="1" applyBorder="1" applyAlignment="1">
      <alignment horizontal="center" vertical="center" wrapText="1"/>
    </xf>
    <xf numFmtId="10" fontId="115" fillId="50" borderId="96" xfId="132" applyNumberFormat="1" applyFont="1" applyFill="1" applyBorder="1" applyAlignment="1">
      <alignment horizontal="center" vertical="center" wrapText="1"/>
    </xf>
    <xf numFmtId="10" fontId="115" fillId="50" borderId="115" xfId="132" applyNumberFormat="1" applyFont="1" applyFill="1" applyBorder="1" applyAlignment="1">
      <alignment horizontal="center" vertical="center" wrapText="1"/>
    </xf>
    <xf numFmtId="10" fontId="115" fillId="50" borderId="116" xfId="132" applyNumberFormat="1" applyFont="1" applyFill="1" applyBorder="1" applyAlignment="1">
      <alignment horizontal="center" vertical="center" wrapText="1"/>
    </xf>
    <xf numFmtId="10" fontId="115" fillId="50" borderId="117" xfId="132" applyNumberFormat="1" applyFont="1" applyFill="1" applyBorder="1" applyAlignment="1">
      <alignment horizontal="center" vertical="center" wrapText="1"/>
    </xf>
    <xf numFmtId="9" fontId="46" fillId="0" borderId="0" xfId="132" applyFont="1"/>
    <xf numFmtId="3" fontId="125" fillId="48" borderId="0" xfId="186" applyNumberFormat="1" applyFont="1" applyFill="1" applyAlignment="1">
      <alignment horizontal="center"/>
    </xf>
    <xf numFmtId="0" fontId="115" fillId="0" borderId="0" xfId="0" applyFont="1" applyAlignment="1">
      <alignment horizontal="left" wrapText="1"/>
    </xf>
    <xf numFmtId="3" fontId="64" fillId="0" borderId="0" xfId="186" applyNumberFormat="1" applyFont="1"/>
    <xf numFmtId="9" fontId="114" fillId="34" borderId="0" xfId="132" applyFont="1" applyFill="1" applyAlignment="1">
      <alignment horizontal="left" vertical="center"/>
    </xf>
    <xf numFmtId="0" fontId="114" fillId="0" borderId="0" xfId="186" applyFont="1"/>
    <xf numFmtId="169" fontId="125" fillId="0" borderId="48" xfId="132" applyNumberFormat="1" applyFont="1" applyFill="1" applyBorder="1" applyAlignment="1">
      <alignment horizontal="center" vertical="center"/>
    </xf>
    <xf numFmtId="10" fontId="125" fillId="0" borderId="48" xfId="187" applyNumberFormat="1" applyFont="1" applyFill="1" applyBorder="1" applyAlignment="1">
      <alignment horizontal="center" vertical="center"/>
    </xf>
    <xf numFmtId="9" fontId="125" fillId="0" borderId="48" xfId="187" applyNumberFormat="1" applyFont="1" applyFill="1" applyBorder="1" applyAlignment="1">
      <alignment horizontal="center" vertical="center"/>
    </xf>
    <xf numFmtId="169" fontId="125" fillId="0" borderId="48" xfId="187" applyNumberFormat="1" applyFont="1" applyFill="1" applyBorder="1" applyAlignment="1">
      <alignment horizontal="center" vertical="center"/>
    </xf>
    <xf numFmtId="9" fontId="125" fillId="0" borderId="48" xfId="132" applyFont="1" applyFill="1" applyBorder="1" applyAlignment="1">
      <alignment horizontal="center" vertical="center"/>
    </xf>
    <xf numFmtId="10" fontId="125" fillId="0" borderId="48" xfId="132" applyNumberFormat="1" applyFont="1" applyFill="1" applyBorder="1" applyAlignment="1">
      <alignment horizontal="center" vertical="center"/>
    </xf>
    <xf numFmtId="169" fontId="125" fillId="0" borderId="50" xfId="132" applyNumberFormat="1" applyFont="1" applyFill="1" applyBorder="1" applyAlignment="1">
      <alignment horizontal="center" vertical="center"/>
    </xf>
    <xf numFmtId="3" fontId="115" fillId="0" borderId="31" xfId="67" applyNumberFormat="1" applyFont="1" applyBorder="1" applyAlignment="1">
      <alignment horizontal="center" vertical="center"/>
    </xf>
    <xf numFmtId="169" fontId="125" fillId="0" borderId="50" xfId="132" applyNumberFormat="1" applyFont="1" applyFill="1" applyBorder="1" applyAlignment="1">
      <alignment horizontal="center"/>
    </xf>
    <xf numFmtId="169" fontId="125" fillId="0" borderId="48" xfId="132" applyNumberFormat="1" applyFont="1" applyFill="1" applyBorder="1" applyAlignment="1">
      <alignment horizontal="center"/>
    </xf>
    <xf numFmtId="169" fontId="115" fillId="0" borderId="48" xfId="132" applyNumberFormat="1" applyFont="1" applyFill="1" applyBorder="1" applyAlignment="1">
      <alignment horizontal="center"/>
    </xf>
    <xf numFmtId="194" fontId="125" fillId="0" borderId="50" xfId="353" applyNumberFormat="1" applyFont="1" applyFill="1" applyBorder="1" applyAlignment="1">
      <alignment horizontal="center"/>
    </xf>
    <xf numFmtId="3" fontId="159" fillId="0" borderId="34" xfId="186" applyNumberFormat="1" applyFont="1" applyBorder="1" applyAlignment="1">
      <alignment horizontal="center" vertical="center"/>
    </xf>
    <xf numFmtId="14" fontId="159" fillId="0" borderId="34" xfId="186" applyNumberFormat="1" applyFont="1" applyBorder="1" applyAlignment="1">
      <alignment horizontal="center" vertical="center"/>
    </xf>
    <xf numFmtId="3" fontId="159" fillId="0" borderId="105" xfId="186" applyNumberFormat="1" applyFont="1" applyBorder="1" applyAlignment="1">
      <alignment horizontal="center" vertical="center"/>
    </xf>
    <xf numFmtId="3" fontId="159" fillId="0" borderId="35" xfId="186" applyNumberFormat="1" applyFont="1" applyBorder="1" applyAlignment="1">
      <alignment horizontal="center" vertical="center"/>
    </xf>
    <xf numFmtId="3" fontId="159" fillId="0" borderId="106" xfId="186" applyNumberFormat="1" applyFont="1" applyBorder="1" applyAlignment="1">
      <alignment horizontal="center" vertical="center"/>
    </xf>
    <xf numFmtId="0" fontId="159" fillId="0" borderId="0" xfId="186" applyFont="1" applyAlignment="1">
      <alignment horizontal="center" vertical="center"/>
    </xf>
    <xf numFmtId="3" fontId="159" fillId="0" borderId="0" xfId="186" applyNumberFormat="1" applyFont="1" applyAlignment="1">
      <alignment horizontal="center" vertical="center"/>
    </xf>
    <xf numFmtId="0" fontId="159" fillId="0" borderId="45" xfId="186" applyFont="1" applyBorder="1" applyAlignment="1">
      <alignment horizontal="center" vertical="center"/>
    </xf>
    <xf numFmtId="3" fontId="159" fillId="0" borderId="118" xfId="186" applyNumberFormat="1" applyFont="1" applyBorder="1" applyAlignment="1">
      <alignment horizontal="center" vertical="center"/>
    </xf>
    <xf numFmtId="3" fontId="159" fillId="0" borderId="119" xfId="186" applyNumberFormat="1" applyFont="1" applyBorder="1" applyAlignment="1">
      <alignment horizontal="center" vertical="center"/>
    </xf>
    <xf numFmtId="15" fontId="159" fillId="0" borderId="0" xfId="186" applyNumberFormat="1" applyFont="1" applyAlignment="1">
      <alignment horizontal="center" vertical="center"/>
    </xf>
    <xf numFmtId="3" fontId="159" fillId="0" borderId="90" xfId="186" applyNumberFormat="1" applyFont="1" applyBorder="1" applyAlignment="1">
      <alignment horizontal="center" vertical="center"/>
    </xf>
    <xf numFmtId="0" fontId="159" fillId="0" borderId="90" xfId="186" applyFont="1" applyBorder="1" applyAlignment="1">
      <alignment horizontal="center" vertical="center"/>
    </xf>
    <xf numFmtId="0" fontId="159" fillId="0" borderId="92" xfId="186" applyFont="1" applyBorder="1" applyAlignment="1">
      <alignment horizontal="center" vertical="center"/>
    </xf>
    <xf numFmtId="15" fontId="159" fillId="0" borderId="35" xfId="186" applyNumberFormat="1" applyFont="1" applyBorder="1" applyAlignment="1">
      <alignment horizontal="center" vertical="center"/>
    </xf>
    <xf numFmtId="3" fontId="159" fillId="0" borderId="120" xfId="186" applyNumberFormat="1" applyFont="1" applyBorder="1" applyAlignment="1">
      <alignment horizontal="center" vertical="center"/>
    </xf>
    <xf numFmtId="3" fontId="159" fillId="0" borderId="45" xfId="186" applyNumberFormat="1" applyFont="1" applyBorder="1" applyAlignment="1">
      <alignment horizontal="center" vertical="center"/>
    </xf>
    <xf numFmtId="3" fontId="159" fillId="0" borderId="94" xfId="186" applyNumberFormat="1" applyFont="1" applyBorder="1" applyAlignment="1">
      <alignment horizontal="center"/>
    </xf>
    <xf numFmtId="3" fontId="159" fillId="0" borderId="96" xfId="186" applyNumberFormat="1" applyFont="1" applyBorder="1" applyAlignment="1">
      <alignment horizontal="center"/>
    </xf>
    <xf numFmtId="3" fontId="155" fillId="0" borderId="94" xfId="186" applyNumberFormat="1" applyFont="1" applyBorder="1" applyAlignment="1">
      <alignment horizontal="center"/>
    </xf>
    <xf numFmtId="3" fontId="155" fillId="0" borderId="96" xfId="186" applyNumberFormat="1" applyFont="1" applyBorder="1" applyAlignment="1">
      <alignment horizontal="center"/>
    </xf>
    <xf numFmtId="0" fontId="115" fillId="48" borderId="49" xfId="0" applyFont="1" applyFill="1" applyBorder="1" applyAlignment="1">
      <alignment horizontal="center" vertical="center" wrapText="1"/>
    </xf>
    <xf numFmtId="169" fontId="120" fillId="0" borderId="0" xfId="0" applyNumberFormat="1" applyFont="1" applyAlignment="1">
      <alignment vertical="center"/>
    </xf>
    <xf numFmtId="1" fontId="45" fillId="0" borderId="0" xfId="0" applyNumberFormat="1" applyFont="1" applyAlignment="1">
      <alignment vertical="center"/>
    </xf>
    <xf numFmtId="37" fontId="46" fillId="0" borderId="0" xfId="187" applyNumberFormat="1" applyFont="1" applyBorder="1" applyAlignment="1">
      <alignment vertical="center"/>
    </xf>
    <xf numFmtId="9" fontId="109" fillId="0" borderId="0" xfId="132" applyFont="1"/>
    <xf numFmtId="0" fontId="125" fillId="56" borderId="94" xfId="0" applyFont="1" applyFill="1" applyBorder="1" applyAlignment="1">
      <alignment horizontal="left" vertical="center" wrapText="1"/>
    </xf>
    <xf numFmtId="0" fontId="125" fillId="56" borderId="96" xfId="0" applyFont="1" applyFill="1" applyBorder="1" applyAlignment="1">
      <alignment horizontal="left" vertical="center" wrapText="1"/>
    </xf>
    <xf numFmtId="0" fontId="132" fillId="56" borderId="93" xfId="0" applyFont="1" applyFill="1" applyBorder="1" applyAlignment="1">
      <alignment horizontal="left" vertical="center" wrapText="1"/>
    </xf>
    <xf numFmtId="0" fontId="132" fillId="56" borderId="94" xfId="0" applyFont="1" applyFill="1" applyBorder="1" applyAlignment="1">
      <alignment horizontal="left" vertical="center" wrapText="1"/>
    </xf>
    <xf numFmtId="0" fontId="132" fillId="56" borderId="96" xfId="0" applyFont="1" applyFill="1" applyBorder="1" applyAlignment="1">
      <alignment horizontal="left" vertical="center" wrapText="1"/>
    </xf>
    <xf numFmtId="0" fontId="159" fillId="51" borderId="121" xfId="186" applyFont="1" applyFill="1" applyBorder="1" applyAlignment="1">
      <alignment horizontal="center" vertical="center" wrapText="1"/>
    </xf>
    <xf numFmtId="0" fontId="159" fillId="51" borderId="122" xfId="186" applyFont="1" applyFill="1" applyBorder="1" applyAlignment="1">
      <alignment horizontal="center" vertical="center" wrapText="1"/>
    </xf>
    <xf numFmtId="0" fontId="159" fillId="51" borderId="39" xfId="186" applyFont="1" applyFill="1" applyBorder="1" applyAlignment="1">
      <alignment horizontal="center" vertical="center" wrapText="1"/>
    </xf>
    <xf numFmtId="0" fontId="159" fillId="51" borderId="123" xfId="186" applyFont="1" applyFill="1" applyBorder="1" applyAlignment="1">
      <alignment horizontal="center" vertical="center" wrapText="1"/>
    </xf>
    <xf numFmtId="0" fontId="159" fillId="51" borderId="93" xfId="186" applyFont="1" applyFill="1" applyBorder="1" applyAlignment="1">
      <alignment horizontal="center" vertical="center" wrapText="1"/>
    </xf>
    <xf numFmtId="3" fontId="159" fillId="55" borderId="89" xfId="186" applyNumberFormat="1" applyFont="1" applyFill="1" applyBorder="1" applyAlignment="1">
      <alignment horizontal="center" vertical="center" wrapText="1"/>
    </xf>
    <xf numFmtId="0" fontId="159" fillId="0" borderId="93" xfId="186" applyFont="1" applyBorder="1" applyAlignment="1">
      <alignment horizontal="left" vertical="center" wrapText="1"/>
    </xf>
    <xf numFmtId="0" fontId="155" fillId="0" borderId="93" xfId="186" applyFont="1" applyBorder="1" applyAlignment="1">
      <alignment horizontal="center" vertical="center" wrapText="1"/>
    </xf>
    <xf numFmtId="3" fontId="162" fillId="47" borderId="0" xfId="67" applyNumberFormat="1" applyFont="1" applyFill="1" applyAlignment="1">
      <alignment horizontal="center" vertical="center"/>
    </xf>
    <xf numFmtId="3" fontId="133" fillId="0" borderId="31" xfId="67" applyNumberFormat="1" applyFont="1" applyBorder="1" applyAlignment="1">
      <alignment horizontal="center" vertical="center"/>
    </xf>
    <xf numFmtId="1" fontId="115" fillId="0" borderId="30" xfId="0" applyNumberFormat="1" applyFont="1" applyBorder="1" applyAlignment="1">
      <alignment horizontal="center" vertical="center"/>
    </xf>
    <xf numFmtId="0" fontId="115" fillId="0" borderId="30" xfId="0" applyFont="1" applyBorder="1" applyAlignment="1">
      <alignment horizontal="center" vertical="center"/>
    </xf>
    <xf numFmtId="3" fontId="115" fillId="0" borderId="31" xfId="0" applyNumberFormat="1" applyFont="1" applyBorder="1" applyAlignment="1">
      <alignment horizontal="center" vertical="center"/>
    </xf>
    <xf numFmtId="3" fontId="125" fillId="48" borderId="30" xfId="67" applyNumberFormat="1" applyFont="1" applyFill="1" applyBorder="1" applyAlignment="1">
      <alignment horizontal="center" vertical="center"/>
    </xf>
    <xf numFmtId="202" fontId="115" fillId="49" borderId="45" xfId="0" applyNumberFormat="1" applyFont="1" applyFill="1" applyBorder="1" applyAlignment="1">
      <alignment horizontal="center" vertical="center" wrapText="1"/>
    </xf>
    <xf numFmtId="0" fontId="125" fillId="48" borderId="61" xfId="0" applyFont="1" applyFill="1" applyBorder="1" applyAlignment="1">
      <alignment horizontal="left" vertical="center" wrapText="1"/>
    </xf>
    <xf numFmtId="0" fontId="146" fillId="52" borderId="101" xfId="0" applyFont="1" applyFill="1" applyBorder="1" applyAlignment="1">
      <alignment horizontal="left" vertical="center" wrapText="1" indent="1"/>
    </xf>
    <xf numFmtId="1" fontId="146" fillId="52" borderId="102" xfId="0" applyNumberFormat="1" applyFont="1" applyFill="1" applyBorder="1" applyAlignment="1">
      <alignment horizontal="center" vertical="center" wrapText="1"/>
    </xf>
    <xf numFmtId="1" fontId="146" fillId="52" borderId="103" xfId="0" applyNumberFormat="1" applyFont="1" applyFill="1" applyBorder="1" applyAlignment="1">
      <alignment horizontal="center" vertical="center" wrapText="1"/>
    </xf>
    <xf numFmtId="1" fontId="146" fillId="52" borderId="104" xfId="0" applyNumberFormat="1" applyFont="1" applyFill="1" applyBorder="1" applyAlignment="1">
      <alignment horizontal="center" vertical="center" wrapText="1"/>
    </xf>
    <xf numFmtId="3" fontId="125" fillId="48" borderId="60" xfId="67" applyNumberFormat="1" applyFont="1" applyFill="1" applyBorder="1" applyAlignment="1">
      <alignment horizontal="center" vertical="center"/>
    </xf>
    <xf numFmtId="9" fontId="109" fillId="0" borderId="0" xfId="132" applyFont="1" applyBorder="1"/>
    <xf numFmtId="2" fontId="109" fillId="0" borderId="0" xfId="132" applyNumberFormat="1" applyFont="1"/>
    <xf numFmtId="43" fontId="50" fillId="0" borderId="0" xfId="187" applyFont="1" applyAlignment="1">
      <alignment vertical="center"/>
    </xf>
    <xf numFmtId="43" fontId="46" fillId="0" borderId="0" xfId="187" applyFont="1" applyBorder="1" applyAlignment="1">
      <alignment vertical="center"/>
    </xf>
    <xf numFmtId="169" fontId="110" fillId="0" borderId="0" xfId="132" applyNumberFormat="1" applyFont="1" applyProtection="1"/>
    <xf numFmtId="0" fontId="125" fillId="51" borderId="121" xfId="186" applyFont="1" applyFill="1" applyBorder="1" applyAlignment="1">
      <alignment horizontal="center" vertical="center" wrapText="1"/>
    </xf>
    <xf numFmtId="203" fontId="125" fillId="0" borderId="34" xfId="186" applyNumberFormat="1" applyFont="1" applyBorder="1" applyAlignment="1">
      <alignment horizontal="center" vertical="center"/>
    </xf>
    <xf numFmtId="3" fontId="125" fillId="0" borderId="34" xfId="186" applyNumberFormat="1" applyFont="1" applyBorder="1" applyAlignment="1">
      <alignment horizontal="center" vertical="center"/>
    </xf>
    <xf numFmtId="3" fontId="125" fillId="0" borderId="105" xfId="186" applyNumberFormat="1" applyFont="1" applyBorder="1" applyAlignment="1">
      <alignment horizontal="center" vertical="center"/>
    </xf>
    <xf numFmtId="3" fontId="125" fillId="0" borderId="35" xfId="186" applyNumberFormat="1" applyFont="1" applyBorder="1" applyAlignment="1">
      <alignment horizontal="center" vertical="center"/>
    </xf>
    <xf numFmtId="3" fontId="125" fillId="0" borderId="106" xfId="186" applyNumberFormat="1" applyFont="1" applyBorder="1" applyAlignment="1">
      <alignment horizontal="center" vertical="center"/>
    </xf>
    <xf numFmtId="0" fontId="155" fillId="50" borderId="37" xfId="186" applyFont="1" applyFill="1" applyBorder="1" applyAlignment="1">
      <alignment horizontal="left"/>
    </xf>
    <xf numFmtId="3" fontId="125" fillId="0" borderId="45" xfId="186" applyNumberFormat="1" applyFont="1" applyBorder="1" applyAlignment="1">
      <alignment horizontal="center" vertical="center"/>
    </xf>
    <xf numFmtId="204" fontId="125" fillId="0" borderId="34" xfId="186" applyNumberFormat="1" applyFont="1" applyBorder="1" applyAlignment="1">
      <alignment horizontal="center" vertical="center"/>
    </xf>
    <xf numFmtId="9" fontId="125" fillId="48" borderId="45" xfId="0" applyNumberFormat="1" applyFont="1" applyFill="1" applyBorder="1" applyAlignment="1">
      <alignment horizontal="center" vertical="center"/>
    </xf>
    <xf numFmtId="169" fontId="125" fillId="48" borderId="0" xfId="132" applyNumberFormat="1" applyFont="1" applyFill="1" applyBorder="1" applyAlignment="1">
      <alignment horizontal="center" vertical="center"/>
    </xf>
    <xf numFmtId="9" fontId="126" fillId="0" borderId="0" xfId="132" applyFont="1" applyAlignment="1">
      <alignment vertical="center"/>
    </xf>
    <xf numFmtId="3" fontId="125" fillId="48" borderId="31" xfId="67" applyNumberFormat="1" applyFont="1" applyFill="1" applyBorder="1" applyAlignment="1">
      <alignment horizontal="center" vertical="center"/>
    </xf>
    <xf numFmtId="3" fontId="115" fillId="48" borderId="0" xfId="67" applyNumberFormat="1" applyFont="1" applyFill="1" applyAlignment="1">
      <alignment horizontal="center" vertical="center"/>
    </xf>
    <xf numFmtId="173" fontId="125" fillId="47" borderId="125" xfId="0" applyNumberFormat="1" applyFont="1" applyFill="1" applyBorder="1" applyAlignment="1">
      <alignment horizontal="center" vertical="center" wrapText="1"/>
    </xf>
    <xf numFmtId="3" fontId="133" fillId="0" borderId="30" xfId="67" applyNumberFormat="1" applyFont="1" applyBorder="1" applyAlignment="1">
      <alignment horizontal="center" vertical="center"/>
    </xf>
    <xf numFmtId="3" fontId="133" fillId="0" borderId="0" xfId="67" applyNumberFormat="1" applyFont="1" applyAlignment="1">
      <alignment horizontal="center" vertical="center"/>
    </xf>
    <xf numFmtId="202" fontId="115" fillId="49" borderId="0" xfId="0" applyNumberFormat="1" applyFont="1" applyFill="1" applyAlignment="1">
      <alignment horizontal="center" vertical="center" wrapText="1"/>
    </xf>
    <xf numFmtId="15" fontId="159" fillId="0" borderId="126" xfId="186" applyNumberFormat="1" applyFont="1" applyBorder="1" applyAlignment="1">
      <alignment horizontal="center" vertical="center"/>
    </xf>
    <xf numFmtId="170" fontId="120" fillId="0" borderId="0" xfId="184" applyNumberFormat="1" applyFont="1" applyAlignment="1">
      <alignment horizontal="left" vertical="center"/>
    </xf>
    <xf numFmtId="43" fontId="46" fillId="0" borderId="0" xfId="187" applyFont="1"/>
    <xf numFmtId="43" fontId="47" fillId="0" borderId="0" xfId="187" applyFont="1" applyAlignment="1">
      <alignment vertical="center"/>
    </xf>
    <xf numFmtId="9" fontId="45" fillId="0" borderId="0" xfId="132" applyFont="1"/>
    <xf numFmtId="173" fontId="159" fillId="0" borderId="0" xfId="186" applyNumberFormat="1" applyFont="1" applyAlignment="1">
      <alignment horizontal="left" vertical="center" wrapText="1"/>
    </xf>
    <xf numFmtId="173" fontId="159" fillId="0" borderId="0" xfId="186" applyNumberFormat="1" applyFont="1" applyAlignment="1">
      <alignment horizontal="center" vertical="center" wrapText="1"/>
    </xf>
    <xf numFmtId="179" fontId="155" fillId="34" borderId="127" xfId="186" applyNumberFormat="1" applyFont="1" applyFill="1" applyBorder="1" applyAlignment="1">
      <alignment horizontal="left" vertical="center" wrapText="1"/>
    </xf>
    <xf numFmtId="173" fontId="159" fillId="0" borderId="48" xfId="186" applyNumberFormat="1" applyFont="1" applyBorder="1" applyAlignment="1">
      <alignment horizontal="center" vertical="center" wrapText="1"/>
    </xf>
    <xf numFmtId="10" fontId="155" fillId="34" borderId="127" xfId="132" applyNumberFormat="1" applyFont="1" applyFill="1" applyBorder="1" applyAlignment="1">
      <alignment horizontal="center"/>
    </xf>
    <xf numFmtId="10" fontId="155" fillId="34" borderId="0" xfId="132" applyNumberFormat="1" applyFont="1" applyFill="1" applyBorder="1" applyAlignment="1">
      <alignment horizontal="center"/>
    </xf>
    <xf numFmtId="10" fontId="155" fillId="0" borderId="48" xfId="132" applyNumberFormat="1" applyFont="1" applyFill="1" applyBorder="1" applyAlignment="1">
      <alignment horizontal="center" vertical="center" wrapText="1"/>
    </xf>
    <xf numFmtId="10" fontId="155" fillId="0" borderId="0" xfId="132" applyNumberFormat="1" applyFont="1" applyFill="1" applyBorder="1" applyAlignment="1">
      <alignment horizontal="center" vertical="center" wrapText="1"/>
    </xf>
    <xf numFmtId="10" fontId="155" fillId="0" borderId="0" xfId="132" applyNumberFormat="1" applyFont="1" applyFill="1" applyBorder="1" applyAlignment="1">
      <alignment horizontal="center"/>
    </xf>
    <xf numFmtId="0" fontId="125" fillId="50" borderId="38" xfId="186" applyFont="1" applyFill="1" applyBorder="1" applyAlignment="1">
      <alignment horizontal="center" vertical="center" wrapText="1"/>
    </xf>
    <xf numFmtId="204" fontId="125" fillId="0" borderId="36" xfId="186" applyNumberFormat="1" applyFont="1" applyBorder="1" applyAlignment="1">
      <alignment horizontal="center" vertical="center"/>
    </xf>
    <xf numFmtId="3" fontId="125" fillId="0" borderId="36" xfId="186" applyNumberFormat="1" applyFont="1" applyBorder="1" applyAlignment="1">
      <alignment horizontal="center" vertical="center"/>
    </xf>
    <xf numFmtId="3" fontId="125" fillId="0" borderId="46" xfId="186" applyNumberFormat="1" applyFont="1" applyBorder="1" applyAlignment="1">
      <alignment horizontal="center" vertical="center"/>
    </xf>
    <xf numFmtId="204" fontId="115" fillId="0" borderId="34" xfId="186" applyNumberFormat="1" applyFont="1" applyBorder="1" applyAlignment="1">
      <alignment horizontal="center" vertical="center"/>
    </xf>
    <xf numFmtId="3" fontId="115" fillId="0" borderId="105" xfId="186" applyNumberFormat="1" applyFont="1" applyBorder="1" applyAlignment="1">
      <alignment horizontal="center" vertical="center"/>
    </xf>
    <xf numFmtId="204" fontId="115" fillId="0" borderId="0" xfId="186" applyNumberFormat="1" applyFont="1" applyAlignment="1">
      <alignment horizontal="center" vertical="center"/>
    </xf>
    <xf numFmtId="3" fontId="115" fillId="0" borderId="0" xfId="186" applyNumberFormat="1" applyFont="1" applyAlignment="1">
      <alignment horizontal="center" vertical="center"/>
    </xf>
    <xf numFmtId="3" fontId="115" fillId="0" borderId="120" xfId="186" applyNumberFormat="1" applyFont="1" applyBorder="1" applyAlignment="1">
      <alignment horizontal="center" vertical="center"/>
    </xf>
    <xf numFmtId="3" fontId="115" fillId="0" borderId="129" xfId="186" applyNumberFormat="1" applyFont="1" applyBorder="1" applyAlignment="1">
      <alignment horizontal="center" vertical="center"/>
    </xf>
    <xf numFmtId="3" fontId="125" fillId="0" borderId="36" xfId="0" applyNumberFormat="1" applyFont="1" applyBorder="1" applyAlignment="1">
      <alignment horizontal="center" vertical="center"/>
    </xf>
    <xf numFmtId="204" fontId="115" fillId="0" borderId="90" xfId="186" applyNumberFormat="1" applyFont="1" applyBorder="1" applyAlignment="1">
      <alignment horizontal="center" vertical="center"/>
    </xf>
    <xf numFmtId="3" fontId="115" fillId="0" borderId="34" xfId="186" applyNumberFormat="1" applyFont="1" applyBorder="1" applyAlignment="1">
      <alignment horizontal="center" vertical="center"/>
    </xf>
    <xf numFmtId="3" fontId="125" fillId="0" borderId="131" xfId="0" applyNumberFormat="1" applyFont="1" applyBorder="1" applyAlignment="1">
      <alignment horizontal="center" vertical="center"/>
    </xf>
    <xf numFmtId="9" fontId="115" fillId="0" borderId="34" xfId="132" applyFont="1" applyFill="1" applyBorder="1" applyAlignment="1">
      <alignment horizontal="center" vertical="center"/>
    </xf>
    <xf numFmtId="169" fontId="115" fillId="34" borderId="90" xfId="132" applyNumberFormat="1" applyFont="1" applyFill="1" applyBorder="1" applyAlignment="1">
      <alignment horizontal="center" vertical="center"/>
    </xf>
    <xf numFmtId="170" fontId="115" fillId="0" borderId="34" xfId="186" applyNumberFormat="1" applyFont="1" applyBorder="1" applyAlignment="1">
      <alignment horizontal="center" vertical="center"/>
    </xf>
    <xf numFmtId="170" fontId="115" fillId="0" borderId="105" xfId="186" applyNumberFormat="1" applyFont="1" applyBorder="1" applyAlignment="1">
      <alignment horizontal="center" vertical="center"/>
    </xf>
    <xf numFmtId="170" fontId="115" fillId="34" borderId="34" xfId="132" applyNumberFormat="1" applyFont="1" applyFill="1" applyBorder="1" applyAlignment="1">
      <alignment horizontal="center" vertical="center"/>
    </xf>
    <xf numFmtId="170" fontId="115" fillId="0" borderId="106" xfId="186" applyNumberFormat="1" applyFont="1" applyBorder="1" applyAlignment="1">
      <alignment horizontal="center" vertical="center"/>
    </xf>
    <xf numFmtId="170" fontId="115" fillId="0" borderId="90" xfId="186" applyNumberFormat="1" applyFont="1" applyBorder="1" applyAlignment="1">
      <alignment horizontal="center" vertical="center"/>
    </xf>
    <xf numFmtId="170" fontId="115" fillId="34" borderId="90" xfId="132" applyNumberFormat="1" applyFont="1" applyFill="1" applyBorder="1" applyAlignment="1">
      <alignment horizontal="center" vertical="center"/>
    </xf>
    <xf numFmtId="0" fontId="115" fillId="34" borderId="38" xfId="186" applyFont="1" applyFill="1" applyBorder="1"/>
    <xf numFmtId="9" fontId="142" fillId="0" borderId="38" xfId="0" applyNumberFormat="1" applyFont="1" applyBorder="1" applyAlignment="1">
      <alignment horizontal="center" vertical="center"/>
    </xf>
    <xf numFmtId="0" fontId="123" fillId="0" borderId="0" xfId="184" applyFont="1"/>
    <xf numFmtId="1" fontId="121" fillId="0" borderId="0" xfId="186" applyNumberFormat="1" applyFont="1"/>
    <xf numFmtId="0" fontId="126" fillId="0" borderId="0" xfId="186" applyFont="1"/>
    <xf numFmtId="1" fontId="126" fillId="0" borderId="0" xfId="186" applyNumberFormat="1" applyFont="1"/>
    <xf numFmtId="9" fontId="126" fillId="0" borderId="0" xfId="132" applyFont="1"/>
    <xf numFmtId="169" fontId="126" fillId="0" borderId="0" xfId="132" applyNumberFormat="1" applyFont="1"/>
    <xf numFmtId="196" fontId="123" fillId="0" borderId="0" xfId="184" applyNumberFormat="1" applyFont="1"/>
    <xf numFmtId="196" fontId="123" fillId="0" borderId="0" xfId="184" applyNumberFormat="1" applyFont="1" applyAlignment="1">
      <alignment horizontal="center"/>
    </xf>
    <xf numFmtId="174" fontId="123" fillId="0" borderId="0" xfId="184" applyNumberFormat="1" applyFont="1"/>
    <xf numFmtId="174" fontId="123" fillId="0" borderId="0" xfId="184" applyNumberFormat="1" applyFont="1" applyAlignment="1">
      <alignment horizontal="center"/>
    </xf>
    <xf numFmtId="179" fontId="115" fillId="34" borderId="34" xfId="132" applyNumberFormat="1" applyFont="1" applyFill="1" applyBorder="1" applyAlignment="1">
      <alignment horizontal="center" vertical="center"/>
    </xf>
    <xf numFmtId="1" fontId="115" fillId="34" borderId="90" xfId="132" applyNumberFormat="1" applyFont="1" applyFill="1" applyBorder="1" applyAlignment="1">
      <alignment horizontal="center" vertical="center"/>
    </xf>
    <xf numFmtId="1" fontId="115" fillId="0" borderId="34" xfId="186" applyNumberFormat="1" applyFont="1" applyBorder="1" applyAlignment="1">
      <alignment horizontal="center" vertical="center"/>
    </xf>
    <xf numFmtId="3" fontId="115" fillId="0" borderId="34" xfId="132" applyNumberFormat="1" applyFont="1" applyFill="1" applyBorder="1" applyAlignment="1">
      <alignment horizontal="center" vertical="center"/>
    </xf>
    <xf numFmtId="10" fontId="46" fillId="0" borderId="0" xfId="0" applyNumberFormat="1" applyFont="1" applyAlignment="1">
      <alignment vertical="center"/>
    </xf>
    <xf numFmtId="194" fontId="46" fillId="0" borderId="0" xfId="187" applyNumberFormat="1" applyFont="1" applyAlignment="1">
      <alignment vertical="center"/>
    </xf>
    <xf numFmtId="3" fontId="64" fillId="0" borderId="0" xfId="184" applyNumberFormat="1" applyFont="1" applyAlignment="1">
      <alignment horizontal="left" vertical="center"/>
    </xf>
    <xf numFmtId="0" fontId="115" fillId="51" borderId="121" xfId="186" applyFont="1" applyFill="1" applyBorder="1" applyAlignment="1">
      <alignment horizontal="left" vertical="center" wrapText="1"/>
    </xf>
    <xf numFmtId="0" fontId="115" fillId="51" borderId="97" xfId="186" applyFont="1" applyFill="1" applyBorder="1" applyAlignment="1">
      <alignment horizontal="left" vertical="center" wrapText="1"/>
    </xf>
    <xf numFmtId="0" fontId="125" fillId="51" borderId="40" xfId="186" applyFont="1" applyFill="1" applyBorder="1" applyAlignment="1">
      <alignment horizontal="left" vertical="center" wrapText="1"/>
    </xf>
    <xf numFmtId="0" fontId="125" fillId="51" borderId="39" xfId="186" applyFont="1" applyFill="1" applyBorder="1" applyAlignment="1">
      <alignment horizontal="left" vertical="center" wrapText="1"/>
    </xf>
    <xf numFmtId="0" fontId="115" fillId="51" borderId="130" xfId="186" applyFont="1" applyFill="1" applyBorder="1" applyAlignment="1">
      <alignment horizontal="left" vertical="center" wrapText="1"/>
    </xf>
    <xf numFmtId="0" fontId="115" fillId="51" borderId="124" xfId="186" applyFont="1" applyFill="1" applyBorder="1" applyAlignment="1">
      <alignment horizontal="left" vertical="center" wrapText="1"/>
    </xf>
    <xf numFmtId="9" fontId="115" fillId="0" borderId="105" xfId="132" applyFont="1" applyBorder="1" applyAlignment="1">
      <alignment horizontal="center" vertical="center"/>
    </xf>
    <xf numFmtId="170" fontId="115" fillId="0" borderId="35" xfId="186" applyNumberFormat="1" applyFont="1" applyBorder="1" applyAlignment="1">
      <alignment horizontal="center" vertical="center"/>
    </xf>
    <xf numFmtId="10" fontId="155" fillId="0" borderId="127" xfId="132" applyNumberFormat="1" applyFont="1" applyFill="1" applyBorder="1" applyAlignment="1">
      <alignment horizontal="center"/>
    </xf>
    <xf numFmtId="1" fontId="115" fillId="0" borderId="92" xfId="186" applyNumberFormat="1" applyFont="1" applyBorder="1" applyAlignment="1">
      <alignment horizontal="center" vertical="center"/>
    </xf>
    <xf numFmtId="0" fontId="125" fillId="37" borderId="89" xfId="0" applyFont="1" applyFill="1" applyBorder="1" applyAlignment="1">
      <alignment horizontal="left" vertical="center" wrapText="1"/>
    </xf>
    <xf numFmtId="1" fontId="125" fillId="37" borderId="132" xfId="0" applyNumberFormat="1" applyFont="1" applyFill="1" applyBorder="1" applyAlignment="1">
      <alignment horizontal="center" vertical="center" wrapText="1"/>
    </xf>
    <xf numFmtId="3" fontId="115" fillId="34" borderId="0" xfId="132" applyNumberFormat="1" applyFont="1" applyFill="1" applyBorder="1" applyAlignment="1">
      <alignment horizontal="center" vertical="center"/>
    </xf>
    <xf numFmtId="10" fontId="155" fillId="0" borderId="128" xfId="132" applyNumberFormat="1" applyFont="1" applyFill="1" applyBorder="1" applyAlignment="1">
      <alignment horizontal="center"/>
    </xf>
    <xf numFmtId="10" fontId="155" fillId="0" borderId="48" xfId="132" applyNumberFormat="1" applyFont="1" applyFill="1" applyBorder="1" applyAlignment="1">
      <alignment horizontal="center"/>
    </xf>
    <xf numFmtId="1" fontId="115" fillId="0" borderId="90" xfId="186" applyNumberFormat="1" applyFont="1" applyBorder="1" applyAlignment="1">
      <alignment horizontal="center" vertical="center"/>
    </xf>
    <xf numFmtId="205" fontId="126" fillId="0" borderId="0" xfId="0" applyNumberFormat="1" applyFont="1" applyAlignment="1">
      <alignment vertical="center"/>
    </xf>
    <xf numFmtId="0" fontId="132" fillId="50" borderId="0" xfId="0" applyFont="1" applyFill="1" applyAlignment="1">
      <alignment horizontal="left" vertical="center"/>
    </xf>
    <xf numFmtId="0" fontId="125" fillId="50" borderId="0" xfId="0" applyFont="1" applyFill="1" applyAlignment="1">
      <alignment horizontal="center" vertical="center" wrapText="1"/>
    </xf>
    <xf numFmtId="0" fontId="115" fillId="0" borderId="0" xfId="0" applyFont="1" applyAlignment="1">
      <alignment horizontal="left" vertical="center"/>
    </xf>
    <xf numFmtId="0" fontId="125" fillId="53" borderId="0" xfId="0" applyFont="1" applyFill="1" applyAlignment="1">
      <alignment horizontal="left" vertical="center" wrapText="1"/>
    </xf>
    <xf numFmtId="1" fontId="125" fillId="53" borderId="0" xfId="0" applyNumberFormat="1" applyFont="1" applyFill="1" applyAlignment="1">
      <alignment horizontal="center" vertical="center" wrapText="1"/>
    </xf>
    <xf numFmtId="1" fontId="115" fillId="48" borderId="0" xfId="0" applyNumberFormat="1" applyFont="1" applyFill="1" applyAlignment="1">
      <alignment horizontal="center" vertical="center"/>
    </xf>
    <xf numFmtId="0" fontId="125" fillId="37" borderId="0" xfId="0" applyFont="1" applyFill="1" applyAlignment="1">
      <alignment horizontal="left" vertical="center" wrapText="1"/>
    </xf>
    <xf numFmtId="179" fontId="114" fillId="0" borderId="0" xfId="186" applyNumberFormat="1" applyFont="1" applyAlignment="1">
      <alignment horizontal="left" vertical="top" wrapText="1" shrinkToFit="1"/>
    </xf>
    <xf numFmtId="206" fontId="46" fillId="0" borderId="0" xfId="0" applyNumberFormat="1" applyFont="1" applyAlignment="1">
      <alignment vertical="center"/>
    </xf>
    <xf numFmtId="207" fontId="46" fillId="0" borderId="0" xfId="0" applyNumberFormat="1" applyFont="1" applyAlignment="1">
      <alignment vertical="center"/>
    </xf>
    <xf numFmtId="207" fontId="46" fillId="34" borderId="0" xfId="0" applyNumberFormat="1" applyFont="1" applyFill="1" applyAlignment="1">
      <alignment vertical="center"/>
    </xf>
    <xf numFmtId="0" fontId="115" fillId="51" borderId="39" xfId="186" applyFont="1" applyFill="1" applyBorder="1" applyAlignment="1">
      <alignment horizontal="left" vertical="center" wrapText="1"/>
    </xf>
    <xf numFmtId="0" fontId="115" fillId="51" borderId="122" xfId="186" applyFont="1" applyFill="1" applyBorder="1" applyAlignment="1">
      <alignment horizontal="left" vertical="center" wrapText="1"/>
    </xf>
    <xf numFmtId="0" fontId="115" fillId="51" borderId="123" xfId="186" applyFont="1" applyFill="1" applyBorder="1" applyAlignment="1">
      <alignment horizontal="left" vertical="center" wrapText="1"/>
    </xf>
    <xf numFmtId="0" fontId="125" fillId="0" borderId="39" xfId="186" applyFont="1" applyBorder="1" applyAlignment="1">
      <alignment horizontal="left" vertical="center" wrapText="1"/>
    </xf>
    <xf numFmtId="0" fontId="159" fillId="0" borderId="101" xfId="186" applyFont="1" applyBorder="1" applyAlignment="1">
      <alignment horizontal="left" vertical="center" wrapText="1"/>
    </xf>
    <xf numFmtId="0" fontId="125" fillId="51" borderId="133" xfId="186" applyFont="1" applyFill="1" applyBorder="1" applyAlignment="1">
      <alignment horizontal="left" vertical="center" wrapText="1"/>
    </xf>
    <xf numFmtId="0" fontId="115" fillId="51" borderId="134" xfId="186" applyFont="1" applyFill="1" applyBorder="1" applyAlignment="1">
      <alignment horizontal="left" vertical="center" wrapText="1"/>
    </xf>
    <xf numFmtId="0" fontId="125" fillId="0" borderId="135" xfId="186" applyFont="1" applyBorder="1" applyAlignment="1">
      <alignment horizontal="left" vertical="center" wrapText="1"/>
    </xf>
    <xf numFmtId="0" fontId="132" fillId="56" borderId="0" xfId="0" applyFont="1" applyFill="1" applyAlignment="1">
      <alignment horizontal="left" vertical="center" wrapText="1"/>
    </xf>
    <xf numFmtId="194" fontId="46" fillId="0" borderId="0" xfId="186" applyNumberFormat="1" applyFont="1"/>
    <xf numFmtId="3" fontId="115" fillId="48" borderId="0" xfId="186" applyNumberFormat="1" applyFont="1" applyFill="1" applyAlignment="1">
      <alignment horizontal="center"/>
    </xf>
    <xf numFmtId="3" fontId="125" fillId="48" borderId="0" xfId="0" applyNumberFormat="1" applyFont="1" applyFill="1" applyAlignment="1">
      <alignment horizontal="center" vertical="center"/>
    </xf>
    <xf numFmtId="208" fontId="47" fillId="0" borderId="0" xfId="187" applyNumberFormat="1" applyFont="1" applyBorder="1" applyAlignment="1">
      <alignment vertical="center"/>
    </xf>
    <xf numFmtId="208" fontId="46" fillId="0" borderId="0" xfId="187" applyNumberFormat="1" applyFont="1"/>
    <xf numFmtId="179" fontId="46" fillId="0" borderId="0" xfId="186" applyNumberFormat="1" applyFont="1"/>
    <xf numFmtId="1" fontId="115" fillId="51" borderId="62" xfId="0" applyNumberFormat="1" applyFont="1" applyFill="1" applyBorder="1" applyAlignment="1">
      <alignment horizontal="center" vertical="center"/>
    </xf>
    <xf numFmtId="0" fontId="128" fillId="34" borderId="0" xfId="0" applyFont="1" applyFill="1" applyAlignment="1">
      <alignment horizontal="left" vertical="top" wrapText="1"/>
    </xf>
    <xf numFmtId="0" fontId="114" fillId="34" borderId="0" xfId="0" applyFont="1" applyFill="1" applyAlignment="1">
      <alignment horizontal="left" vertical="top"/>
    </xf>
    <xf numFmtId="0" fontId="120" fillId="0" borderId="0" xfId="0" applyFont="1" applyAlignment="1">
      <alignment horizontal="left" vertical="top"/>
    </xf>
    <xf numFmtId="0" fontId="46" fillId="0" borderId="0" xfId="0" applyFont="1" applyAlignment="1">
      <alignment horizontal="right" vertical="center"/>
    </xf>
    <xf numFmtId="1" fontId="46" fillId="0" borderId="0" xfId="0" applyNumberFormat="1" applyFont="1" applyAlignment="1">
      <alignment horizontal="right" vertical="center"/>
    </xf>
    <xf numFmtId="3" fontId="46" fillId="0" borderId="0" xfId="0" applyNumberFormat="1" applyFont="1" applyAlignment="1">
      <alignment horizontal="right" vertical="center"/>
    </xf>
    <xf numFmtId="0" fontId="45" fillId="0" borderId="0" xfId="0" applyFont="1" applyAlignment="1">
      <alignment horizontal="right" vertical="center"/>
    </xf>
    <xf numFmtId="0" fontId="167" fillId="0" borderId="0" xfId="0" applyFont="1" applyAlignment="1">
      <alignment horizontal="right" vertical="center"/>
    </xf>
    <xf numFmtId="3" fontId="46" fillId="0" borderId="0" xfId="132" applyNumberFormat="1" applyFont="1" applyAlignment="1">
      <alignment vertical="center"/>
    </xf>
    <xf numFmtId="171" fontId="46" fillId="0" borderId="0" xfId="132" applyNumberFormat="1" applyFont="1" applyAlignment="1">
      <alignment vertical="center"/>
    </xf>
    <xf numFmtId="2" fontId="45" fillId="0" borderId="0" xfId="0" applyNumberFormat="1" applyFont="1" applyAlignment="1">
      <alignment vertical="center"/>
    </xf>
    <xf numFmtId="1" fontId="125" fillId="48" borderId="96" xfId="0" applyNumberFormat="1" applyFont="1" applyFill="1" applyBorder="1" applyAlignment="1">
      <alignment horizontal="center" vertical="center"/>
    </xf>
    <xf numFmtId="10" fontId="125" fillId="48" borderId="0" xfId="132" applyNumberFormat="1" applyFont="1" applyFill="1" applyAlignment="1">
      <alignment horizontal="center"/>
    </xf>
    <xf numFmtId="0" fontId="125" fillId="51" borderId="124" xfId="186" applyFont="1" applyFill="1" applyBorder="1" applyAlignment="1">
      <alignment horizontal="center" vertical="center" wrapText="1"/>
    </xf>
    <xf numFmtId="204" fontId="125" fillId="0" borderId="126" xfId="186" applyNumberFormat="1" applyFont="1" applyBorder="1" applyAlignment="1">
      <alignment horizontal="center" vertical="center"/>
    </xf>
    <xf numFmtId="203" fontId="125" fillId="0" borderId="126" xfId="186" applyNumberFormat="1" applyFont="1" applyBorder="1" applyAlignment="1">
      <alignment horizontal="center" vertical="center"/>
    </xf>
    <xf numFmtId="3" fontId="125" fillId="0" borderId="126" xfId="186" applyNumberFormat="1" applyFont="1" applyBorder="1" applyAlignment="1">
      <alignment horizontal="center" vertical="center"/>
    </xf>
    <xf numFmtId="3" fontId="125" fillId="0" borderId="136" xfId="186" applyNumberFormat="1" applyFont="1" applyBorder="1" applyAlignment="1">
      <alignment horizontal="center" vertical="center"/>
    </xf>
    <xf numFmtId="3" fontId="150" fillId="0" borderId="0" xfId="184" applyNumberFormat="1" applyFont="1" applyAlignment="1">
      <alignment vertical="center"/>
    </xf>
    <xf numFmtId="199" fontId="47" fillId="0" borderId="0" xfId="0" applyNumberFormat="1" applyFont="1" applyAlignment="1">
      <alignment vertical="center"/>
    </xf>
    <xf numFmtId="10" fontId="125" fillId="50" borderId="103" xfId="132" applyNumberFormat="1" applyFont="1" applyFill="1" applyBorder="1" applyAlignment="1">
      <alignment horizontal="center" vertical="center" wrapText="1"/>
    </xf>
    <xf numFmtId="10" fontId="125" fillId="50" borderId="137" xfId="132" applyNumberFormat="1" applyFont="1" applyFill="1" applyBorder="1" applyAlignment="1">
      <alignment horizontal="center" vertical="center" wrapText="1"/>
    </xf>
    <xf numFmtId="0" fontId="140" fillId="50" borderId="138" xfId="0" applyFont="1" applyFill="1" applyBorder="1" applyAlignment="1">
      <alignment horizontal="left" vertical="center" wrapText="1"/>
    </xf>
    <xf numFmtId="10" fontId="169" fillId="50" borderId="139" xfId="132" applyNumberFormat="1" applyFont="1" applyFill="1" applyBorder="1" applyAlignment="1">
      <alignment horizontal="center" vertical="center" wrapText="1"/>
    </xf>
    <xf numFmtId="10" fontId="169" fillId="50" borderId="140" xfId="132" applyNumberFormat="1" applyFont="1" applyFill="1" applyBorder="1" applyAlignment="1">
      <alignment horizontal="center" vertical="center" wrapText="1"/>
    </xf>
    <xf numFmtId="169" fontId="170" fillId="34" borderId="0" xfId="132" applyNumberFormat="1" applyFont="1" applyFill="1" applyBorder="1" applyAlignment="1">
      <alignment horizontal="center"/>
    </xf>
    <xf numFmtId="0" fontId="170" fillId="50" borderId="37" xfId="186" applyFont="1" applyFill="1" applyBorder="1" applyAlignment="1">
      <alignment horizontal="left" vertical="center"/>
    </xf>
    <xf numFmtId="9" fontId="161" fillId="0" borderId="0" xfId="132" applyFont="1" applyFill="1" applyBorder="1" applyAlignment="1">
      <alignment horizontal="center" vertical="center"/>
    </xf>
    <xf numFmtId="199" fontId="125" fillId="0" borderId="0" xfId="0" applyNumberFormat="1" applyFont="1" applyAlignment="1">
      <alignment horizontal="center" vertical="center"/>
    </xf>
    <xf numFmtId="0" fontId="171" fillId="50" borderId="39" xfId="0" applyFont="1" applyFill="1" applyBorder="1" applyAlignment="1">
      <alignment horizontal="left" vertical="center" wrapText="1"/>
    </xf>
    <xf numFmtId="0" fontId="125" fillId="47" borderId="125" xfId="0" applyFont="1" applyFill="1" applyBorder="1" applyAlignment="1">
      <alignment horizontal="center" vertical="center" wrapText="1"/>
    </xf>
    <xf numFmtId="3" fontId="115" fillId="48" borderId="142" xfId="67" applyNumberFormat="1" applyFont="1" applyFill="1" applyBorder="1" applyAlignment="1">
      <alignment horizontal="center" vertical="center"/>
    </xf>
    <xf numFmtId="3" fontId="125" fillId="48" borderId="141" xfId="67" applyNumberFormat="1" applyFont="1" applyFill="1" applyBorder="1" applyAlignment="1">
      <alignment horizontal="center" vertical="center"/>
    </xf>
    <xf numFmtId="3" fontId="125" fillId="48" borderId="142" xfId="67" applyNumberFormat="1" applyFont="1" applyFill="1" applyBorder="1" applyAlignment="1">
      <alignment horizontal="center" vertical="center"/>
    </xf>
    <xf numFmtId="3" fontId="115" fillId="48" borderId="125" xfId="67" applyNumberFormat="1" applyFont="1" applyFill="1" applyBorder="1" applyAlignment="1">
      <alignment horizontal="center" vertical="center"/>
    </xf>
    <xf numFmtId="3" fontId="115" fillId="48" borderId="143" xfId="67" applyNumberFormat="1" applyFont="1" applyFill="1" applyBorder="1" applyAlignment="1">
      <alignment horizontal="center" vertical="center"/>
    </xf>
    <xf numFmtId="3" fontId="125" fillId="48" borderId="125" xfId="67" applyNumberFormat="1" applyFont="1" applyFill="1" applyBorder="1" applyAlignment="1">
      <alignment horizontal="center" vertical="center"/>
    </xf>
    <xf numFmtId="3" fontId="125" fillId="48" borderId="144" xfId="0" applyNumberFormat="1" applyFont="1" applyFill="1" applyBorder="1" applyAlignment="1">
      <alignment horizontal="center" vertical="center"/>
    </xf>
    <xf numFmtId="3" fontId="115" fillId="48" borderId="144" xfId="0" applyNumberFormat="1" applyFont="1" applyFill="1" applyBorder="1" applyAlignment="1">
      <alignment horizontal="center" vertical="center"/>
    </xf>
    <xf numFmtId="3" fontId="125" fillId="48" borderId="143" xfId="0" applyNumberFormat="1" applyFont="1" applyFill="1" applyBorder="1" applyAlignment="1">
      <alignment horizontal="center" vertical="center"/>
    </xf>
    <xf numFmtId="3" fontId="125" fillId="48" borderId="143" xfId="67" applyNumberFormat="1" applyFont="1" applyFill="1" applyBorder="1" applyAlignment="1">
      <alignment horizontal="center" vertical="center"/>
    </xf>
    <xf numFmtId="2" fontId="125" fillId="48" borderId="142" xfId="0" applyNumberFormat="1" applyFont="1" applyFill="1" applyBorder="1" applyAlignment="1">
      <alignment horizontal="center" vertical="center"/>
    </xf>
    <xf numFmtId="169" fontId="125" fillId="48" borderId="142" xfId="132" applyNumberFormat="1" applyFont="1" applyFill="1" applyBorder="1" applyAlignment="1">
      <alignment horizontal="center" vertical="center"/>
    </xf>
    <xf numFmtId="10" fontId="125" fillId="48" borderId="142" xfId="132" applyNumberFormat="1" applyFont="1" applyFill="1" applyBorder="1" applyAlignment="1">
      <alignment horizontal="center" vertical="center"/>
    </xf>
    <xf numFmtId="10" fontId="125" fillId="48" borderId="142" xfId="187" applyNumberFormat="1" applyFont="1" applyFill="1" applyBorder="1" applyAlignment="1">
      <alignment horizontal="center" vertical="center"/>
    </xf>
    <xf numFmtId="9" fontId="125" fillId="48" borderId="142" xfId="187" applyNumberFormat="1" applyFont="1" applyFill="1" applyBorder="1" applyAlignment="1">
      <alignment horizontal="center" vertical="center"/>
    </xf>
    <xf numFmtId="169" fontId="125" fillId="48" borderId="142" xfId="187" applyNumberFormat="1" applyFont="1" applyFill="1" applyBorder="1" applyAlignment="1">
      <alignment horizontal="center" vertical="center"/>
    </xf>
    <xf numFmtId="9" fontId="125" fillId="48" borderId="142" xfId="132" applyFont="1" applyFill="1" applyBorder="1" applyAlignment="1">
      <alignment horizontal="center" vertical="center"/>
    </xf>
    <xf numFmtId="169" fontId="125" fillId="48" borderId="143" xfId="132" applyNumberFormat="1" applyFont="1" applyFill="1" applyBorder="1" applyAlignment="1">
      <alignment horizontal="center" vertical="center"/>
    </xf>
    <xf numFmtId="2" fontId="125" fillId="48" borderId="48" xfId="0" applyNumberFormat="1" applyFont="1" applyFill="1" applyBorder="1" applyAlignment="1">
      <alignment horizontal="center" vertical="center"/>
    </xf>
    <xf numFmtId="169" fontId="125" fillId="48" borderId="48" xfId="132" applyNumberFormat="1" applyFont="1" applyFill="1" applyBorder="1" applyAlignment="1">
      <alignment horizontal="center" vertical="center"/>
    </xf>
    <xf numFmtId="3" fontId="133" fillId="51" borderId="62" xfId="67" applyNumberFormat="1" applyFont="1" applyFill="1" applyBorder="1" applyAlignment="1">
      <alignment horizontal="center" vertical="center"/>
    </xf>
    <xf numFmtId="3" fontId="115" fillId="51" borderId="62" xfId="67" applyNumberFormat="1" applyFont="1" applyFill="1" applyBorder="1" applyAlignment="1">
      <alignment horizontal="center" vertical="center"/>
    </xf>
    <xf numFmtId="3" fontId="125" fillId="48" borderId="62" xfId="67" applyNumberFormat="1" applyFont="1" applyFill="1" applyBorder="1" applyAlignment="1">
      <alignment horizontal="center" vertical="center"/>
    </xf>
    <xf numFmtId="2" fontId="141" fillId="49" borderId="146" xfId="0" applyNumberFormat="1" applyFont="1" applyFill="1" applyBorder="1" applyAlignment="1">
      <alignment horizontal="center" vertical="center" wrapText="1"/>
    </xf>
    <xf numFmtId="10" fontId="169" fillId="50" borderId="148" xfId="132" applyNumberFormat="1" applyFont="1" applyFill="1" applyBorder="1" applyAlignment="1">
      <alignment horizontal="center" vertical="center" wrapText="1"/>
    </xf>
    <xf numFmtId="1" fontId="125" fillId="48" borderId="92" xfId="0" applyNumberFormat="1" applyFont="1" applyFill="1" applyBorder="1" applyAlignment="1">
      <alignment horizontal="center" vertical="center"/>
    </xf>
    <xf numFmtId="169" fontId="170" fillId="34" borderId="48" xfId="132" applyNumberFormat="1" applyFont="1" applyFill="1" applyBorder="1" applyAlignment="1">
      <alignment horizontal="center"/>
    </xf>
    <xf numFmtId="0" fontId="125" fillId="56" borderId="94" xfId="0" applyFont="1" applyFill="1" applyBorder="1" applyAlignment="1">
      <alignment horizontal="center" vertical="center" wrapText="1"/>
    </xf>
    <xf numFmtId="3" fontId="115" fillId="0" borderId="35" xfId="186" applyNumberFormat="1" applyFont="1" applyBorder="1" applyAlignment="1">
      <alignment horizontal="center" vertical="center"/>
    </xf>
    <xf numFmtId="3" fontId="115" fillId="0" borderId="118" xfId="186" applyNumberFormat="1" applyFont="1" applyBorder="1" applyAlignment="1">
      <alignment horizontal="center" vertical="center"/>
    </xf>
    <xf numFmtId="3" fontId="125" fillId="0" borderId="149" xfId="186" applyNumberFormat="1" applyFont="1" applyBorder="1" applyAlignment="1">
      <alignment horizontal="center" vertical="center"/>
    </xf>
    <xf numFmtId="3" fontId="159" fillId="0" borderId="102" xfId="186" applyNumberFormat="1" applyFont="1" applyBorder="1" applyAlignment="1">
      <alignment horizontal="center"/>
    </xf>
    <xf numFmtId="0" fontId="115" fillId="56" borderId="94" xfId="0" applyFont="1" applyFill="1" applyBorder="1" applyAlignment="1">
      <alignment horizontal="center" vertical="center" wrapText="1"/>
    </xf>
    <xf numFmtId="3" fontId="115" fillId="0" borderId="150" xfId="186" applyNumberFormat="1" applyFont="1" applyBorder="1" applyAlignment="1">
      <alignment horizontal="center" vertical="center"/>
    </xf>
    <xf numFmtId="3" fontId="159" fillId="0" borderId="151" xfId="186" applyNumberFormat="1" applyFont="1" applyBorder="1" applyAlignment="1">
      <alignment horizontal="center" vertical="center"/>
    </xf>
    <xf numFmtId="3" fontId="115" fillId="0" borderId="153" xfId="186" applyNumberFormat="1" applyFont="1" applyBorder="1" applyAlignment="1">
      <alignment horizontal="center" vertical="center"/>
    </xf>
    <xf numFmtId="0" fontId="132" fillId="56" borderId="102" xfId="0" applyFont="1" applyFill="1" applyBorder="1" applyAlignment="1">
      <alignment horizontal="left" vertical="center" wrapText="1"/>
    </xf>
    <xf numFmtId="3" fontId="159" fillId="0" borderId="154" xfId="186" applyNumberFormat="1" applyFont="1" applyBorder="1" applyAlignment="1">
      <alignment horizontal="center" vertical="center"/>
    </xf>
    <xf numFmtId="0" fontId="125" fillId="56" borderId="95" xfId="0" applyFont="1" applyFill="1" applyBorder="1" applyAlignment="1">
      <alignment horizontal="left" vertical="center" wrapText="1"/>
    </xf>
    <xf numFmtId="170" fontId="115" fillId="0" borderId="155" xfId="186" applyNumberFormat="1" applyFont="1" applyBorder="1" applyAlignment="1">
      <alignment horizontal="center" vertical="center"/>
    </xf>
    <xf numFmtId="170" fontId="115" fillId="0" borderId="152" xfId="186" applyNumberFormat="1" applyFont="1" applyBorder="1" applyAlignment="1">
      <alignment horizontal="center" vertical="center"/>
    </xf>
    <xf numFmtId="3" fontId="115" fillId="0" borderId="155" xfId="186" applyNumberFormat="1" applyFont="1" applyBorder="1" applyAlignment="1">
      <alignment horizontal="center" vertical="center"/>
    </xf>
    <xf numFmtId="1" fontId="115" fillId="0" borderId="91" xfId="186" applyNumberFormat="1" applyFont="1" applyBorder="1" applyAlignment="1">
      <alignment horizontal="center" vertical="center"/>
    </xf>
    <xf numFmtId="3" fontId="46" fillId="34" borderId="0" xfId="0" applyNumberFormat="1" applyFont="1" applyFill="1" applyAlignment="1">
      <alignment vertical="center"/>
    </xf>
    <xf numFmtId="0" fontId="114" fillId="34" borderId="0" xfId="0" applyFont="1" applyFill="1" applyAlignment="1">
      <alignment horizontal="left" vertical="top" wrapText="1"/>
    </xf>
    <xf numFmtId="10" fontId="173" fillId="48" borderId="145" xfId="132" applyNumberFormat="1" applyFont="1" applyFill="1" applyBorder="1" applyAlignment="1">
      <alignment horizontal="center" vertical="center"/>
    </xf>
    <xf numFmtId="10" fontId="173" fillId="48" borderId="142" xfId="132" applyNumberFormat="1" applyFont="1" applyFill="1" applyBorder="1" applyAlignment="1">
      <alignment horizontal="center" vertical="center"/>
    </xf>
    <xf numFmtId="3" fontId="174" fillId="51" borderId="60" xfId="67" applyNumberFormat="1" applyFont="1" applyFill="1" applyBorder="1" applyAlignment="1">
      <alignment horizontal="center" vertical="center"/>
    </xf>
    <xf numFmtId="1" fontId="115" fillId="48" borderId="0" xfId="67" applyNumberFormat="1" applyFont="1" applyFill="1" applyAlignment="1">
      <alignment horizontal="center" vertical="center"/>
    </xf>
    <xf numFmtId="10" fontId="64" fillId="0" borderId="0" xfId="186" applyNumberFormat="1" applyFont="1"/>
    <xf numFmtId="209" fontId="64" fillId="0" borderId="0" xfId="186" applyNumberFormat="1" applyFont="1"/>
    <xf numFmtId="9" fontId="46" fillId="0" borderId="0" xfId="186" applyNumberFormat="1" applyFont="1"/>
    <xf numFmtId="43" fontId="46" fillId="0" borderId="0" xfId="187" applyFont="1" applyAlignment="1">
      <alignment vertical="center"/>
    </xf>
    <xf numFmtId="9" fontId="115" fillId="0" borderId="126" xfId="132" applyFont="1" applyBorder="1" applyAlignment="1">
      <alignment horizontal="center" vertical="center"/>
    </xf>
    <xf numFmtId="169" fontId="109" fillId="0" borderId="0" xfId="132" applyNumberFormat="1" applyFont="1" applyBorder="1"/>
    <xf numFmtId="10" fontId="125" fillId="48" borderId="0" xfId="132" applyNumberFormat="1" applyFont="1" applyFill="1" applyBorder="1" applyAlignment="1">
      <alignment horizontal="center"/>
    </xf>
    <xf numFmtId="0" fontId="167" fillId="0" borderId="0" xfId="0" applyFont="1" applyAlignment="1">
      <alignment vertical="center"/>
    </xf>
    <xf numFmtId="10" fontId="115" fillId="50" borderId="0" xfId="132" applyNumberFormat="1" applyFont="1" applyFill="1" applyBorder="1" applyAlignment="1">
      <alignment horizontal="center" vertical="center" wrapText="1"/>
    </xf>
    <xf numFmtId="3" fontId="125" fillId="48" borderId="0" xfId="67" applyNumberFormat="1" applyFont="1" applyFill="1" applyAlignment="1">
      <alignment horizontal="center" vertical="center"/>
    </xf>
    <xf numFmtId="170" fontId="47" fillId="0" borderId="0" xfId="0" applyNumberFormat="1" applyFont="1" applyAlignment="1">
      <alignment vertical="center"/>
    </xf>
    <xf numFmtId="199" fontId="125" fillId="48" borderId="0" xfId="186" applyNumberFormat="1" applyFont="1" applyFill="1" applyAlignment="1">
      <alignment horizontal="center"/>
    </xf>
    <xf numFmtId="9" fontId="120" fillId="0" borderId="0" xfId="132" applyFont="1" applyAlignment="1">
      <alignment vertical="center"/>
    </xf>
    <xf numFmtId="3" fontId="151" fillId="0" borderId="0" xfId="184" applyNumberFormat="1" applyFont="1" applyAlignment="1">
      <alignment horizontal="center" vertical="center"/>
    </xf>
    <xf numFmtId="0" fontId="179" fillId="58" borderId="0" xfId="0" applyFont="1" applyFill="1" applyAlignment="1">
      <alignment horizontal="center" wrapText="1" readingOrder="1"/>
    </xf>
    <xf numFmtId="0" fontId="178" fillId="58" borderId="0" xfId="0" applyFont="1" applyFill="1" applyAlignment="1">
      <alignment horizontal="center" vertical="center" wrapText="1"/>
    </xf>
    <xf numFmtId="0" fontId="179" fillId="0" borderId="0" xfId="0" applyFont="1" applyAlignment="1">
      <alignment horizontal="center" wrapText="1" readingOrder="1"/>
    </xf>
    <xf numFmtId="0" fontId="178" fillId="0" borderId="0" xfId="0" applyFont="1" applyAlignment="1">
      <alignment horizontal="center" vertical="center" wrapText="1"/>
    </xf>
    <xf numFmtId="3" fontId="125" fillId="0" borderId="48" xfId="0" applyNumberFormat="1" applyFont="1" applyBorder="1" applyAlignment="1">
      <alignment horizontal="center" vertical="center"/>
    </xf>
    <xf numFmtId="3" fontId="125" fillId="0" borderId="50" xfId="0" applyNumberFormat="1" applyFont="1" applyBorder="1" applyAlignment="1">
      <alignment horizontal="center" vertical="center"/>
    </xf>
    <xf numFmtId="3" fontId="115" fillId="0" borderId="48" xfId="0" applyNumberFormat="1" applyFont="1" applyBorder="1" applyAlignment="1">
      <alignment horizontal="center" vertical="center" wrapText="1"/>
    </xf>
    <xf numFmtId="3" fontId="115" fillId="0" borderId="50" xfId="0" applyNumberFormat="1" applyFont="1" applyBorder="1" applyAlignment="1">
      <alignment horizontal="center" vertical="center" wrapText="1"/>
    </xf>
    <xf numFmtId="3" fontId="125" fillId="0" borderId="99" xfId="0" applyNumberFormat="1" applyFont="1" applyBorder="1" applyAlignment="1">
      <alignment horizontal="center" vertical="center"/>
    </xf>
    <xf numFmtId="3" fontId="115" fillId="0" borderId="48" xfId="0" applyNumberFormat="1" applyFont="1" applyBorder="1" applyAlignment="1">
      <alignment horizontal="center" vertical="center"/>
    </xf>
    <xf numFmtId="3" fontId="115" fillId="0" borderId="103" xfId="0" applyNumberFormat="1" applyFont="1" applyBorder="1" applyAlignment="1">
      <alignment horizontal="center" vertical="center"/>
    </xf>
    <xf numFmtId="3" fontId="115" fillId="0" borderId="50" xfId="0" applyNumberFormat="1" applyFont="1" applyBorder="1" applyAlignment="1">
      <alignment horizontal="center" vertical="center"/>
    </xf>
    <xf numFmtId="4" fontId="115" fillId="0" borderId="48" xfId="0" applyNumberFormat="1" applyFont="1" applyBorder="1" applyAlignment="1">
      <alignment horizontal="center" vertical="center"/>
    </xf>
    <xf numFmtId="199" fontId="115" fillId="0" borderId="50" xfId="0" applyNumberFormat="1" applyFont="1" applyBorder="1" applyAlignment="1">
      <alignment horizontal="center" vertical="center"/>
    </xf>
    <xf numFmtId="0" fontId="115" fillId="0" borderId="48" xfId="0" applyFont="1" applyBorder="1" applyAlignment="1">
      <alignment horizontal="center" vertical="center" wrapText="1"/>
    </xf>
    <xf numFmtId="0" fontId="115" fillId="0" borderId="50" xfId="0" applyFont="1" applyBorder="1" applyAlignment="1">
      <alignment horizontal="center" vertical="center" wrapText="1"/>
    </xf>
    <xf numFmtId="10" fontId="155" fillId="0" borderId="157" xfId="132" applyNumberFormat="1" applyFont="1" applyFill="1" applyBorder="1" applyAlignment="1">
      <alignment horizontal="center"/>
    </xf>
    <xf numFmtId="10" fontId="155" fillId="0" borderId="156" xfId="132" applyNumberFormat="1" applyFont="1" applyFill="1" applyBorder="1" applyAlignment="1">
      <alignment horizontal="center" vertical="center" wrapText="1"/>
    </xf>
    <xf numFmtId="10" fontId="155" fillId="0" borderId="156" xfId="132" applyNumberFormat="1" applyFont="1" applyFill="1" applyBorder="1" applyAlignment="1">
      <alignment horizontal="center"/>
    </xf>
    <xf numFmtId="3" fontId="125" fillId="0" borderId="48" xfId="186" applyNumberFormat="1" applyFont="1" applyBorder="1" applyAlignment="1">
      <alignment horizontal="center"/>
    </xf>
    <xf numFmtId="0" fontId="125" fillId="0" borderId="48" xfId="186" applyFont="1" applyBorder="1" applyAlignment="1">
      <alignment horizontal="center"/>
    </xf>
    <xf numFmtId="3" fontId="115" fillId="0" borderId="48" xfId="186" applyNumberFormat="1" applyFont="1" applyBorder="1" applyAlignment="1">
      <alignment horizontal="center"/>
    </xf>
    <xf numFmtId="3" fontId="115" fillId="0" borderId="50" xfId="186" applyNumberFormat="1" applyFont="1" applyBorder="1" applyAlignment="1">
      <alignment horizontal="center"/>
    </xf>
    <xf numFmtId="1" fontId="125" fillId="0" borderId="94" xfId="0" applyNumberFormat="1" applyFont="1" applyBorder="1" applyAlignment="1">
      <alignment horizontal="center" vertical="center"/>
    </xf>
    <xf numFmtId="1" fontId="125" fillId="0" borderId="90" xfId="0" applyNumberFormat="1" applyFont="1" applyBorder="1" applyAlignment="1">
      <alignment horizontal="center" vertical="center"/>
    </xf>
    <xf numFmtId="1" fontId="115" fillId="0" borderId="48" xfId="0" applyNumberFormat="1" applyFont="1" applyBorder="1" applyAlignment="1">
      <alignment horizontal="center" vertical="center"/>
    </xf>
    <xf numFmtId="1" fontId="125" fillId="0" borderId="95" xfId="0" applyNumberFormat="1" applyFont="1" applyBorder="1" applyAlignment="1">
      <alignment horizontal="center" vertical="center"/>
    </xf>
    <xf numFmtId="1" fontId="125" fillId="0" borderId="91" xfId="0" applyNumberFormat="1" applyFont="1" applyBorder="1" applyAlignment="1">
      <alignment horizontal="center" vertical="center"/>
    </xf>
    <xf numFmtId="1" fontId="115" fillId="0" borderId="0" xfId="67" applyNumberFormat="1" applyFont="1" applyAlignment="1">
      <alignment horizontal="center" vertical="center"/>
    </xf>
    <xf numFmtId="1" fontId="115" fillId="0" borderId="99" xfId="0" applyNumberFormat="1" applyFont="1" applyBorder="1" applyAlignment="1">
      <alignment horizontal="center" vertical="center"/>
    </xf>
    <xf numFmtId="1" fontId="115" fillId="0" borderId="103" xfId="0" applyNumberFormat="1" applyFont="1" applyBorder="1" applyAlignment="1">
      <alignment horizontal="center" vertical="center"/>
    </xf>
    <xf numFmtId="1" fontId="115" fillId="0" borderId="95" xfId="0" applyNumberFormat="1" applyFont="1" applyBorder="1" applyAlignment="1">
      <alignment horizontal="center" vertical="center" wrapText="1"/>
    </xf>
    <xf numFmtId="2" fontId="115" fillId="0" borderId="48" xfId="0" applyNumberFormat="1" applyFont="1" applyBorder="1" applyAlignment="1">
      <alignment horizontal="center" vertical="center"/>
    </xf>
    <xf numFmtId="3" fontId="147" fillId="0" borderId="48" xfId="0" applyNumberFormat="1" applyFont="1" applyBorder="1" applyAlignment="1">
      <alignment horizontal="center" vertical="center"/>
    </xf>
    <xf numFmtId="3" fontId="125" fillId="0" borderId="108" xfId="0" applyNumberFormat="1" applyFont="1" applyBorder="1" applyAlignment="1">
      <alignment horizontal="center" vertical="center"/>
    </xf>
    <xf numFmtId="3" fontId="172" fillId="0" borderId="48" xfId="67" applyNumberFormat="1" applyFont="1" applyBorder="1" applyAlignment="1">
      <alignment horizontal="center" vertical="center"/>
    </xf>
    <xf numFmtId="3" fontId="125" fillId="0" borderId="48" xfId="67" applyNumberFormat="1" applyFont="1" applyBorder="1" applyAlignment="1">
      <alignment horizontal="center" vertical="center"/>
    </xf>
    <xf numFmtId="3" fontId="115" fillId="0" borderId="48" xfId="67" applyNumberFormat="1" applyFont="1" applyBorder="1" applyAlignment="1">
      <alignment horizontal="center" vertical="center"/>
    </xf>
    <xf numFmtId="9" fontId="125" fillId="0" borderId="48" xfId="0" applyNumberFormat="1" applyFont="1" applyBorder="1" applyAlignment="1">
      <alignment horizontal="center" vertical="center"/>
    </xf>
    <xf numFmtId="9" fontId="115" fillId="0" borderId="48" xfId="0" applyNumberFormat="1" applyFont="1" applyBorder="1" applyAlignment="1">
      <alignment horizontal="center" vertical="center"/>
    </xf>
    <xf numFmtId="9" fontId="142" fillId="0" borderId="50" xfId="0" applyNumberFormat="1" applyFont="1" applyBorder="1" applyAlignment="1">
      <alignment horizontal="center" vertical="center"/>
    </xf>
    <xf numFmtId="3" fontId="125" fillId="0" borderId="147" xfId="0" applyNumberFormat="1" applyFont="1" applyBorder="1" applyAlignment="1">
      <alignment horizontal="center" vertical="center"/>
    </xf>
    <xf numFmtId="3" fontId="125" fillId="0" borderId="50" xfId="67" applyNumberFormat="1" applyFont="1" applyBorder="1" applyAlignment="1">
      <alignment horizontal="center" vertical="center"/>
    </xf>
    <xf numFmtId="3" fontId="115" fillId="0" borderId="48" xfId="0" applyNumberFormat="1" applyFont="1" applyBorder="1" applyAlignment="1">
      <alignment horizontal="center"/>
    </xf>
    <xf numFmtId="3" fontId="125" fillId="0" borderId="48" xfId="0" applyNumberFormat="1" applyFont="1" applyBorder="1" applyAlignment="1">
      <alignment horizontal="center"/>
    </xf>
    <xf numFmtId="3" fontId="115" fillId="51" borderId="31" xfId="67" applyNumberFormat="1" applyFont="1" applyFill="1" applyBorder="1" applyAlignment="1">
      <alignment horizontal="center" vertical="center"/>
    </xf>
    <xf numFmtId="3" fontId="133" fillId="51" borderId="30" xfId="67" applyNumberFormat="1" applyFont="1" applyFill="1" applyBorder="1" applyAlignment="1">
      <alignment horizontal="center" vertical="center"/>
    </xf>
    <xf numFmtId="3" fontId="174" fillId="51" borderId="31" xfId="67" applyNumberFormat="1" applyFont="1" applyFill="1" applyBorder="1" applyAlignment="1">
      <alignment horizontal="center" vertical="center"/>
    </xf>
    <xf numFmtId="3" fontId="133" fillId="51" borderId="0" xfId="67" applyNumberFormat="1" applyFont="1" applyFill="1" applyAlignment="1">
      <alignment horizontal="center" vertical="center"/>
    </xf>
    <xf numFmtId="3" fontId="115" fillId="51" borderId="30" xfId="67" applyNumberFormat="1" applyFont="1" applyFill="1" applyBorder="1" applyAlignment="1">
      <alignment horizontal="center" vertical="center"/>
    </xf>
    <xf numFmtId="3" fontId="115" fillId="51" borderId="0" xfId="0" applyNumberFormat="1" applyFont="1" applyFill="1" applyAlignment="1">
      <alignment horizontal="center" vertical="center"/>
    </xf>
    <xf numFmtId="1" fontId="115" fillId="51" borderId="30" xfId="0" applyNumberFormat="1" applyFont="1" applyFill="1" applyBorder="1" applyAlignment="1">
      <alignment horizontal="center" vertical="center"/>
    </xf>
    <xf numFmtId="3" fontId="115" fillId="51" borderId="0" xfId="67" applyNumberFormat="1" applyFont="1" applyFill="1" applyAlignment="1">
      <alignment horizontal="center" vertical="center"/>
    </xf>
    <xf numFmtId="3" fontId="115" fillId="51" borderId="30" xfId="0" applyNumberFormat="1" applyFont="1" applyFill="1" applyBorder="1" applyAlignment="1">
      <alignment horizontal="center" vertical="center"/>
    </xf>
    <xf numFmtId="3" fontId="174" fillId="0" borderId="31" xfId="67" applyNumberFormat="1" applyFont="1" applyBorder="1" applyAlignment="1">
      <alignment horizontal="center" vertical="center"/>
    </xf>
    <xf numFmtId="2" fontId="125" fillId="0" borderId="48" xfId="0" applyNumberFormat="1" applyFont="1" applyBorder="1" applyAlignment="1">
      <alignment horizontal="center" vertical="center"/>
    </xf>
    <xf numFmtId="10" fontId="173" fillId="0" borderId="56" xfId="132" applyNumberFormat="1" applyFont="1" applyFill="1" applyBorder="1" applyAlignment="1">
      <alignment horizontal="center" vertical="center"/>
    </xf>
    <xf numFmtId="10" fontId="173" fillId="0" borderId="48" xfId="132" applyNumberFormat="1" applyFont="1" applyFill="1" applyBorder="1" applyAlignment="1">
      <alignment horizontal="center" vertical="center"/>
    </xf>
    <xf numFmtId="3" fontId="125" fillId="0" borderId="43" xfId="67" applyNumberFormat="1" applyFont="1" applyBorder="1" applyAlignment="1">
      <alignment horizontal="center" vertical="center"/>
    </xf>
    <xf numFmtId="3" fontId="115" fillId="0" borderId="47" xfId="67" applyNumberFormat="1" applyFont="1" applyBorder="1" applyAlignment="1">
      <alignment horizontal="center" vertical="center"/>
    </xf>
    <xf numFmtId="3" fontId="115" fillId="0" borderId="50" xfId="67" applyNumberFormat="1" applyFont="1" applyBorder="1" applyAlignment="1">
      <alignment horizontal="center" vertical="center"/>
    </xf>
    <xf numFmtId="3" fontId="125" fillId="0" borderId="47" xfId="67" applyNumberFormat="1" applyFont="1" applyBorder="1" applyAlignment="1">
      <alignment horizontal="center" vertical="center"/>
    </xf>
    <xf numFmtId="3" fontId="125" fillId="0" borderId="53" xfId="0" applyNumberFormat="1" applyFont="1" applyBorder="1" applyAlignment="1">
      <alignment horizontal="center" vertical="center"/>
    </xf>
    <xf numFmtId="3" fontId="115" fillId="0" borderId="53" xfId="0" applyNumberFormat="1" applyFont="1" applyBorder="1" applyAlignment="1">
      <alignment horizontal="center" vertical="center"/>
    </xf>
    <xf numFmtId="0" fontId="125" fillId="47" borderId="159" xfId="0" applyFont="1" applyFill="1" applyBorder="1" applyAlignment="1">
      <alignment horizontal="center" vertical="center" wrapText="1"/>
    </xf>
    <xf numFmtId="3" fontId="125" fillId="0" borderId="164" xfId="0" applyNumberFormat="1" applyFont="1" applyBorder="1" applyAlignment="1">
      <alignment horizontal="center" vertical="center"/>
    </xf>
    <xf numFmtId="173" fontId="125" fillId="47" borderId="159" xfId="0" applyNumberFormat="1" applyFont="1" applyFill="1" applyBorder="1" applyAlignment="1">
      <alignment horizontal="center" vertical="center" wrapText="1"/>
    </xf>
    <xf numFmtId="3" fontId="115" fillId="48" borderId="160" xfId="67" applyNumberFormat="1" applyFont="1" applyFill="1" applyBorder="1" applyAlignment="1">
      <alignment horizontal="center" vertical="center"/>
    </xf>
    <xf numFmtId="3" fontId="125" fillId="48" borderId="161" xfId="67" applyNumberFormat="1" applyFont="1" applyFill="1" applyBorder="1" applyAlignment="1">
      <alignment horizontal="center" vertical="center"/>
    </xf>
    <xf numFmtId="3" fontId="125" fillId="48" borderId="160" xfId="67" applyNumberFormat="1" applyFont="1" applyFill="1" applyBorder="1" applyAlignment="1">
      <alignment horizontal="center" vertical="center"/>
    </xf>
    <xf numFmtId="3" fontId="115" fillId="48" borderId="159" xfId="67" applyNumberFormat="1" applyFont="1" applyFill="1" applyBorder="1" applyAlignment="1">
      <alignment horizontal="center" vertical="center"/>
    </xf>
    <xf numFmtId="3" fontId="115" fillId="48" borderId="162" xfId="67" applyNumberFormat="1" applyFont="1" applyFill="1" applyBorder="1" applyAlignment="1">
      <alignment horizontal="center" vertical="center"/>
    </xf>
    <xf numFmtId="3" fontId="125" fillId="48" borderId="159" xfId="67" applyNumberFormat="1" applyFont="1" applyFill="1" applyBorder="1" applyAlignment="1">
      <alignment horizontal="center" vertical="center"/>
    </xf>
    <xf numFmtId="3" fontId="125" fillId="48" borderId="163" xfId="0" applyNumberFormat="1" applyFont="1" applyFill="1" applyBorder="1" applyAlignment="1">
      <alignment horizontal="center" vertical="center"/>
    </xf>
    <xf numFmtId="3" fontId="115" fillId="48" borderId="163" xfId="0" applyNumberFormat="1" applyFont="1" applyFill="1" applyBorder="1" applyAlignment="1">
      <alignment horizontal="center" vertical="center"/>
    </xf>
    <xf numFmtId="3" fontId="125" fillId="48" borderId="158" xfId="0" applyNumberFormat="1" applyFont="1" applyFill="1" applyBorder="1" applyAlignment="1">
      <alignment horizontal="center" vertical="center"/>
    </xf>
    <xf numFmtId="3" fontId="125" fillId="48" borderId="162" xfId="67" applyNumberFormat="1" applyFont="1" applyFill="1" applyBorder="1" applyAlignment="1">
      <alignment horizontal="center" vertical="center"/>
    </xf>
    <xf numFmtId="2" fontId="125" fillId="48" borderId="160" xfId="0" applyNumberFormat="1" applyFont="1" applyFill="1" applyBorder="1" applyAlignment="1">
      <alignment horizontal="center" vertical="center"/>
    </xf>
    <xf numFmtId="169" fontId="125" fillId="48" borderId="160" xfId="132" applyNumberFormat="1" applyFont="1" applyFill="1" applyBorder="1" applyAlignment="1">
      <alignment horizontal="center" vertical="center"/>
    </xf>
    <xf numFmtId="10" fontId="125" fillId="48" borderId="160" xfId="132" applyNumberFormat="1" applyFont="1" applyFill="1" applyBorder="1" applyAlignment="1">
      <alignment horizontal="center" vertical="center"/>
    </xf>
    <xf numFmtId="10" fontId="125" fillId="48" borderId="160" xfId="187" applyNumberFormat="1" applyFont="1" applyFill="1" applyBorder="1" applyAlignment="1">
      <alignment horizontal="center" vertical="center"/>
    </xf>
    <xf numFmtId="9" fontId="125" fillId="48" borderId="160" xfId="187" applyNumberFormat="1" applyFont="1" applyFill="1" applyBorder="1" applyAlignment="1">
      <alignment horizontal="center" vertical="center"/>
    </xf>
    <xf numFmtId="169" fontId="125" fillId="48" borderId="160" xfId="187" applyNumberFormat="1" applyFont="1" applyFill="1" applyBorder="1" applyAlignment="1">
      <alignment horizontal="center" vertical="center"/>
    </xf>
    <xf numFmtId="9" fontId="125" fillId="48" borderId="160" xfId="132" applyFont="1" applyFill="1" applyBorder="1" applyAlignment="1">
      <alignment horizontal="center" vertical="center"/>
    </xf>
    <xf numFmtId="10" fontId="125" fillId="48" borderId="165" xfId="132" applyNumberFormat="1" applyFont="1" applyFill="1" applyBorder="1" applyAlignment="1">
      <alignment horizontal="center" vertical="center"/>
    </xf>
    <xf numFmtId="169" fontId="125" fillId="48" borderId="162" xfId="132" applyNumberFormat="1" applyFont="1" applyFill="1" applyBorder="1" applyAlignment="1">
      <alignment horizontal="center" vertical="center"/>
    </xf>
    <xf numFmtId="200" fontId="45" fillId="0" borderId="0" xfId="0" applyNumberFormat="1" applyFont="1" applyAlignment="1">
      <alignment vertical="center"/>
    </xf>
    <xf numFmtId="169" fontId="125" fillId="48" borderId="142" xfId="132" applyNumberFormat="1" applyFont="1" applyFill="1" applyBorder="1" applyAlignment="1">
      <alignment horizontal="center"/>
    </xf>
    <xf numFmtId="169" fontId="115" fillId="48" borderId="142" xfId="132" applyNumberFormat="1" applyFont="1" applyFill="1" applyBorder="1" applyAlignment="1">
      <alignment horizontal="center"/>
    </xf>
    <xf numFmtId="3" fontId="125" fillId="48" borderId="142" xfId="186" applyNumberFormat="1" applyFont="1" applyFill="1" applyBorder="1" applyAlignment="1">
      <alignment horizontal="center"/>
    </xf>
    <xf numFmtId="169" fontId="125" fillId="48" borderId="143" xfId="132" applyNumberFormat="1" applyFont="1" applyFill="1" applyBorder="1" applyAlignment="1">
      <alignment horizontal="center"/>
    </xf>
    <xf numFmtId="3" fontId="180" fillId="48" borderId="45" xfId="67" applyNumberFormat="1" applyFont="1" applyFill="1" applyBorder="1" applyAlignment="1">
      <alignment horizontal="center" vertical="center"/>
    </xf>
    <xf numFmtId="43" fontId="181" fillId="0" borderId="0" xfId="187" applyFont="1" applyAlignment="1">
      <alignment vertical="center"/>
    </xf>
    <xf numFmtId="43" fontId="167" fillId="59" borderId="0" xfId="187" applyFont="1" applyFill="1" applyAlignment="1">
      <alignment vertical="center"/>
    </xf>
    <xf numFmtId="43" fontId="167" fillId="0" borderId="0" xfId="187" applyFont="1" applyAlignment="1">
      <alignment vertical="center"/>
    </xf>
    <xf numFmtId="9" fontId="167" fillId="0" borderId="0" xfId="132" applyFont="1" applyAlignment="1">
      <alignment vertical="center"/>
    </xf>
    <xf numFmtId="3" fontId="167" fillId="0" borderId="0" xfId="186" applyNumberFormat="1" applyFont="1"/>
    <xf numFmtId="43" fontId="109" fillId="0" borderId="0" xfId="187" applyFont="1"/>
    <xf numFmtId="0" fontId="139" fillId="46" borderId="0" xfId="184" applyFont="1" applyFill="1" applyAlignment="1">
      <alignment horizontal="center" vertical="center"/>
    </xf>
    <xf numFmtId="0" fontId="125" fillId="50" borderId="166" xfId="186" applyFont="1" applyFill="1" applyBorder="1" applyAlignment="1">
      <alignment horizontal="center" vertical="center" wrapText="1"/>
    </xf>
    <xf numFmtId="0" fontId="125" fillId="56" borderId="167" xfId="0" applyFont="1" applyFill="1" applyBorder="1" applyAlignment="1">
      <alignment horizontal="center" vertical="center" wrapText="1"/>
    </xf>
    <xf numFmtId="3" fontId="115" fillId="0" borderId="168" xfId="186" applyNumberFormat="1" applyFont="1" applyBorder="1" applyAlignment="1">
      <alignment horizontal="center" vertical="center"/>
    </xf>
    <xf numFmtId="3" fontId="115" fillId="0" borderId="169" xfId="186" applyNumberFormat="1" applyFont="1" applyBorder="1" applyAlignment="1">
      <alignment horizontal="center" vertical="center"/>
    </xf>
    <xf numFmtId="3" fontId="115" fillId="0" borderId="170" xfId="186" applyNumberFormat="1" applyFont="1" applyBorder="1" applyAlignment="1">
      <alignment horizontal="center" vertical="center"/>
    </xf>
    <xf numFmtId="3" fontId="115" fillId="0" borderId="171" xfId="186" applyNumberFormat="1" applyFont="1" applyBorder="1" applyAlignment="1">
      <alignment horizontal="center" vertical="center"/>
    </xf>
    <xf numFmtId="3" fontId="125" fillId="0" borderId="172" xfId="186" applyNumberFormat="1" applyFont="1" applyBorder="1" applyAlignment="1">
      <alignment horizontal="center" vertical="center"/>
    </xf>
    <xf numFmtId="3" fontId="125" fillId="0" borderId="173" xfId="186" applyNumberFormat="1" applyFont="1" applyBorder="1" applyAlignment="1">
      <alignment horizontal="center" vertical="center"/>
    </xf>
    <xf numFmtId="3" fontId="175" fillId="0" borderId="174" xfId="186" applyNumberFormat="1" applyFont="1" applyBorder="1" applyAlignment="1">
      <alignment horizontal="center" vertical="center"/>
    </xf>
    <xf numFmtId="0" fontId="115" fillId="56" borderId="169" xfId="0" applyFont="1" applyFill="1" applyBorder="1" applyAlignment="1">
      <alignment horizontal="center" vertical="center" wrapText="1"/>
    </xf>
    <xf numFmtId="3" fontId="115" fillId="0" borderId="175" xfId="186" applyNumberFormat="1" applyFont="1" applyBorder="1" applyAlignment="1">
      <alignment horizontal="center" vertical="center"/>
    </xf>
    <xf numFmtId="3" fontId="115" fillId="0" borderId="176" xfId="186" applyNumberFormat="1" applyFont="1" applyBorder="1" applyAlignment="1">
      <alignment horizontal="center" vertical="center"/>
    </xf>
    <xf numFmtId="0" fontId="132" fillId="56" borderId="177" xfId="0" applyFont="1" applyFill="1" applyBorder="1" applyAlignment="1">
      <alignment horizontal="left" vertical="center" wrapText="1"/>
    </xf>
    <xf numFmtId="9" fontId="115" fillId="0" borderId="178" xfId="132" applyFont="1" applyBorder="1" applyAlignment="1">
      <alignment horizontal="center" vertical="center"/>
    </xf>
    <xf numFmtId="171" fontId="115" fillId="0" borderId="106" xfId="186" applyNumberFormat="1" applyFont="1" applyBorder="1" applyAlignment="1">
      <alignment horizontal="center" vertical="center"/>
    </xf>
    <xf numFmtId="169" fontId="115" fillId="0" borderId="92" xfId="132" applyNumberFormat="1" applyFont="1" applyBorder="1" applyAlignment="1">
      <alignment horizontal="center" vertical="center"/>
    </xf>
    <xf numFmtId="3" fontId="125" fillId="0" borderId="0" xfId="186" applyNumberFormat="1" applyFont="1" applyAlignment="1">
      <alignment horizontal="center" vertical="center"/>
    </xf>
    <xf numFmtId="9" fontId="115" fillId="0" borderId="34" xfId="132" applyFont="1" applyBorder="1" applyAlignment="1">
      <alignment horizontal="center" vertical="center"/>
    </xf>
    <xf numFmtId="0" fontId="115" fillId="0" borderId="90" xfId="186" applyFont="1" applyBorder="1" applyAlignment="1">
      <alignment horizontal="center" vertical="center"/>
    </xf>
    <xf numFmtId="0" fontId="125" fillId="51" borderId="39" xfId="186" applyFont="1" applyFill="1" applyBorder="1" applyAlignment="1">
      <alignment horizontal="center" vertical="center" wrapText="1"/>
    </xf>
    <xf numFmtId="204" fontId="125" fillId="0" borderId="0" xfId="186" applyNumberFormat="1" applyFont="1" applyAlignment="1">
      <alignment horizontal="center" vertical="center"/>
    </xf>
    <xf numFmtId="203" fontId="125" fillId="0" borderId="0" xfId="186" applyNumberFormat="1" applyFont="1" applyAlignment="1">
      <alignment horizontal="center" vertical="center"/>
    </xf>
    <xf numFmtId="3" fontId="125" fillId="0" borderId="120" xfId="186" applyNumberFormat="1" applyFont="1" applyBorder="1" applyAlignment="1">
      <alignment horizontal="center" vertical="center"/>
    </xf>
    <xf numFmtId="3" fontId="125" fillId="0" borderId="129" xfId="186" applyNumberFormat="1" applyFont="1" applyBorder="1" applyAlignment="1">
      <alignment horizontal="center" vertical="center"/>
    </xf>
    <xf numFmtId="3" fontId="155" fillId="34" borderId="156" xfId="186" applyNumberFormat="1" applyFont="1" applyFill="1" applyBorder="1" applyAlignment="1">
      <alignment horizontal="center"/>
    </xf>
    <xf numFmtId="3" fontId="182" fillId="0" borderId="0" xfId="186" applyNumberFormat="1" applyFont="1"/>
    <xf numFmtId="0" fontId="159" fillId="0" borderId="102" xfId="186" applyFont="1" applyBorder="1" applyAlignment="1">
      <alignment horizontal="left" vertical="center" wrapText="1"/>
    </xf>
    <xf numFmtId="0" fontId="125" fillId="0" borderId="0" xfId="186" applyFont="1" applyAlignment="1">
      <alignment horizontal="left" vertical="center" wrapText="1"/>
    </xf>
    <xf numFmtId="0" fontId="183" fillId="50" borderId="38" xfId="186" applyFont="1" applyFill="1" applyBorder="1" applyAlignment="1">
      <alignment horizontal="center" vertical="center"/>
    </xf>
    <xf numFmtId="0" fontId="115" fillId="0" borderId="34" xfId="186" applyFont="1" applyBorder="1" applyAlignment="1">
      <alignment horizontal="center" vertical="center" wrapText="1"/>
    </xf>
    <xf numFmtId="0" fontId="115" fillId="0" borderId="35" xfId="186" applyFont="1" applyBorder="1" applyAlignment="1">
      <alignment horizontal="center" vertical="center" wrapText="1"/>
    </xf>
    <xf numFmtId="0" fontId="115" fillId="0" borderId="150" xfId="186" applyFont="1" applyBorder="1" applyAlignment="1">
      <alignment horizontal="center" vertical="center" wrapText="1"/>
    </xf>
    <xf numFmtId="169" fontId="125" fillId="48" borderId="0" xfId="132" applyNumberFormat="1" applyFont="1" applyFill="1" applyBorder="1" applyAlignment="1">
      <alignment horizontal="center"/>
    </xf>
    <xf numFmtId="3" fontId="125" fillId="0" borderId="149" xfId="186" applyNumberFormat="1" applyFont="1" applyBorder="1" applyAlignment="1">
      <alignment horizontal="center" vertical="center" wrapText="1"/>
    </xf>
    <xf numFmtId="9" fontId="115" fillId="0" borderId="153" xfId="132" applyFont="1" applyBorder="1" applyAlignment="1">
      <alignment horizontal="center" vertical="center"/>
    </xf>
    <xf numFmtId="9" fontId="115" fillId="0" borderId="35" xfId="132" applyFont="1" applyBorder="1" applyAlignment="1">
      <alignment horizontal="center" vertical="center"/>
    </xf>
    <xf numFmtId="9" fontId="115" fillId="0" borderId="0" xfId="132" applyFont="1" applyAlignment="1">
      <alignment horizontal="center" vertical="center"/>
    </xf>
    <xf numFmtId="0" fontId="115" fillId="51" borderId="133" xfId="186" applyFont="1" applyFill="1" applyBorder="1" applyAlignment="1">
      <alignment horizontal="left" vertical="center" wrapText="1"/>
    </xf>
    <xf numFmtId="9" fontId="184" fillId="0" borderId="169" xfId="132" applyFont="1" applyBorder="1" applyAlignment="1">
      <alignment horizontal="center" vertical="center"/>
    </xf>
    <xf numFmtId="9" fontId="115" fillId="0" borderId="170" xfId="132" applyFont="1" applyBorder="1" applyAlignment="1">
      <alignment horizontal="center" vertical="center"/>
    </xf>
    <xf numFmtId="9" fontId="115" fillId="0" borderId="35" xfId="186" applyNumberFormat="1" applyFont="1" applyBorder="1" applyAlignment="1">
      <alignment horizontal="center" vertical="center" wrapText="1"/>
    </xf>
    <xf numFmtId="169" fontId="185" fillId="0" borderId="0" xfId="184" applyNumberFormat="1" applyFont="1"/>
    <xf numFmtId="169" fontId="186" fillId="59" borderId="0" xfId="184" applyNumberFormat="1" applyFont="1" applyFill="1"/>
    <xf numFmtId="169" fontId="186" fillId="0" borderId="0" xfId="184" applyNumberFormat="1" applyFont="1"/>
    <xf numFmtId="3" fontId="155" fillId="0" borderId="0" xfId="186" applyNumberFormat="1" applyFont="1" applyAlignment="1">
      <alignment horizontal="center"/>
    </xf>
    <xf numFmtId="169" fontId="159" fillId="0" borderId="0" xfId="132" applyNumberFormat="1" applyFont="1" applyFill="1" applyBorder="1" applyAlignment="1">
      <alignment horizontal="center"/>
    </xf>
    <xf numFmtId="169" fontId="114" fillId="0" borderId="0" xfId="0" applyNumberFormat="1" applyFont="1"/>
    <xf numFmtId="9" fontId="125" fillId="0" borderId="0" xfId="132" applyFont="1" applyAlignment="1">
      <alignment horizontal="center"/>
    </xf>
    <xf numFmtId="9" fontId="125" fillId="48" borderId="0" xfId="132" applyFont="1" applyFill="1" applyBorder="1" applyAlignment="1">
      <alignment horizontal="center" vertical="center"/>
    </xf>
    <xf numFmtId="0" fontId="165" fillId="57" borderId="0" xfId="0" applyFont="1" applyFill="1" applyAlignment="1">
      <alignment horizontal="left" vertical="center" wrapText="1"/>
    </xf>
    <xf numFmtId="0" fontId="139" fillId="46" borderId="0" xfId="184" applyFont="1" applyFill="1" applyAlignment="1">
      <alignment horizontal="center" vertical="center"/>
    </xf>
    <xf numFmtId="179" fontId="114" fillId="0" borderId="0" xfId="186" applyNumberFormat="1" applyFont="1" applyAlignment="1">
      <alignment horizontal="left" vertical="center" wrapText="1" shrinkToFit="1"/>
    </xf>
    <xf numFmtId="0" fontId="114" fillId="0" borderId="0" xfId="0" applyFont="1"/>
    <xf numFmtId="0" fontId="160" fillId="0" borderId="0" xfId="184" applyFont="1" applyAlignment="1">
      <alignment horizontal="left" vertical="top" wrapText="1"/>
    </xf>
    <xf numFmtId="0" fontId="130" fillId="0" borderId="0" xfId="68" applyFont="1" applyAlignment="1">
      <alignment horizontal="left" vertical="center" wrapText="1"/>
    </xf>
    <xf numFmtId="0" fontId="130" fillId="0" borderId="0" xfId="184" applyFont="1" applyAlignment="1">
      <alignment horizontal="justify" vertical="top" wrapText="1"/>
    </xf>
    <xf numFmtId="0" fontId="113" fillId="0" borderId="36" xfId="68" applyFont="1" applyBorder="1" applyAlignment="1">
      <alignment horizontal="center" vertical="center"/>
    </xf>
    <xf numFmtId="0" fontId="114" fillId="34" borderId="0" xfId="0" applyFont="1" applyFill="1" applyAlignment="1">
      <alignment horizontal="left" vertical="top" wrapText="1"/>
    </xf>
    <xf numFmtId="0" fontId="114" fillId="34" borderId="0" xfId="0" applyFont="1" applyFill="1" applyAlignment="1">
      <alignment horizontal="left" vertical="center" wrapText="1"/>
    </xf>
    <xf numFmtId="0" fontId="114" fillId="0" borderId="0" xfId="184" applyFont="1" applyAlignment="1">
      <alignment horizontal="left" vertical="center" wrapText="1"/>
    </xf>
    <xf numFmtId="0" fontId="114" fillId="0" borderId="0" xfId="0" applyFont="1" applyAlignment="1">
      <alignment horizontal="left" vertical="center" wrapText="1"/>
    </xf>
    <xf numFmtId="0" fontId="145" fillId="46" borderId="0" xfId="0" applyFont="1" applyFill="1" applyAlignment="1">
      <alignment vertical="center"/>
    </xf>
    <xf numFmtId="0" fontId="164" fillId="34" borderId="0" xfId="0" applyFont="1" applyFill="1" applyAlignment="1">
      <alignment horizontal="left" vertical="center" wrapText="1"/>
    </xf>
    <xf numFmtId="0" fontId="115" fillId="51" borderId="39" xfId="0" applyFont="1" applyFill="1" applyBorder="1" applyAlignment="1">
      <alignment horizontal="left" vertical="center" wrapText="1"/>
    </xf>
    <xf numFmtId="0" fontId="114" fillId="51" borderId="39" xfId="0" applyFont="1" applyFill="1" applyBorder="1" applyAlignment="1">
      <alignment horizontal="left" vertical="center" wrapText="1"/>
    </xf>
    <xf numFmtId="0" fontId="115" fillId="51" borderId="97" xfId="0" applyFont="1" applyFill="1" applyBorder="1" applyAlignment="1">
      <alignment horizontal="left" vertical="center" wrapText="1"/>
    </xf>
    <xf numFmtId="0" fontId="114" fillId="51" borderId="101" xfId="0" applyFont="1" applyFill="1" applyBorder="1" applyAlignment="1">
      <alignment horizontal="left" vertical="center" wrapText="1"/>
    </xf>
    <xf numFmtId="0" fontId="115" fillId="51" borderId="101" xfId="0" applyFont="1" applyFill="1" applyBorder="1" applyAlignment="1">
      <alignment horizontal="left" vertical="center" wrapText="1"/>
    </xf>
    <xf numFmtId="0" fontId="114" fillId="0" borderId="0" xfId="0" applyFont="1" applyAlignment="1">
      <alignment horizontal="left" vertical="top" wrapText="1"/>
    </xf>
    <xf numFmtId="0" fontId="114" fillId="0" borderId="0" xfId="0" applyFont="1" applyAlignment="1">
      <alignment vertical="center" wrapText="1"/>
    </xf>
    <xf numFmtId="0" fontId="0" fillId="0" borderId="0" xfId="0"/>
    <xf numFmtId="0" fontId="176" fillId="46" borderId="0" xfId="184" applyFont="1" applyFill="1" applyAlignment="1">
      <alignment horizontal="center" vertical="center"/>
    </xf>
    <xf numFmtId="0" fontId="155" fillId="0" borderId="0" xfId="184" applyFont="1" applyAlignment="1">
      <alignment horizontal="left" vertical="top" wrapText="1"/>
    </xf>
    <xf numFmtId="0" fontId="114" fillId="0" borderId="0" xfId="186" applyFont="1" applyAlignment="1">
      <alignment horizontal="left" vertical="center" wrapText="1" shrinkToFit="1"/>
    </xf>
    <xf numFmtId="179" fontId="155" fillId="34" borderId="0" xfId="186" applyNumberFormat="1" applyFont="1" applyFill="1" applyAlignment="1">
      <alignment horizontal="left" vertical="center" wrapText="1"/>
    </xf>
    <xf numFmtId="0" fontId="166" fillId="0" borderId="0" xfId="0" applyFont="1"/>
    <xf numFmtId="0" fontId="177" fillId="0" borderId="0" xfId="186" applyFont="1" applyAlignment="1">
      <alignment horizontal="left" vertical="center" wrapText="1"/>
    </xf>
    <xf numFmtId="0" fontId="177" fillId="0" borderId="0" xfId="0" applyFont="1" applyAlignment="1">
      <alignment horizontal="left" vertical="center" wrapText="1"/>
    </xf>
    <xf numFmtId="179" fontId="168" fillId="0" borderId="0" xfId="186" applyNumberFormat="1" applyFont="1" applyAlignment="1">
      <alignment horizontal="left" vertical="center" wrapText="1" shrinkToFit="1"/>
    </xf>
    <xf numFmtId="1" fontId="125" fillId="0" borderId="36" xfId="186" applyNumberFormat="1" applyFont="1" applyBorder="1" applyAlignment="1">
      <alignment horizontal="center" vertical="center"/>
    </xf>
    <xf numFmtId="179" fontId="114" fillId="0" borderId="0" xfId="186" applyNumberFormat="1" applyFont="1" applyAlignment="1">
      <alignment horizontal="left" vertical="top" wrapText="1" shrinkToFit="1"/>
    </xf>
  </cellXfs>
  <cellStyles count="354">
    <cellStyle name="_ΜΕΡΙΔΙΑ ΤΡΑΠΕΖΙΚΗΣ ΑΓΟΡΑΣ" xfId="1" xr:uid="{00000000-0005-0000-0000-000000000000}"/>
    <cellStyle name="20% - Accent1 2" xfId="189" xr:uid="{F251F079-024A-4F2B-B248-8240A76249B6}"/>
    <cellStyle name="20% - Accent2 2" xfId="190" xr:uid="{402267D9-EC5C-4BE7-80B8-A86140BFC281}"/>
    <cellStyle name="20% - Accent3 2" xfId="191" xr:uid="{69ECA58B-219F-459A-A503-4CF956CE5AE3}"/>
    <cellStyle name="20% - Accent4 2" xfId="192" xr:uid="{2B673D3D-608A-4E0A-A7FB-E9B981630040}"/>
    <cellStyle name="20% - Accent5 2" xfId="193" xr:uid="{5A57DAC9-5A02-4076-BD43-66E24452157B}"/>
    <cellStyle name="20% - Accent6 2" xfId="194" xr:uid="{936490FA-6362-4289-A620-FA9A00D557F3}"/>
    <cellStyle name="20% - Énfasis1 2" xfId="290" xr:uid="{6B0FCA09-8146-425E-942C-8C7BD9EFE951}"/>
    <cellStyle name="20% - Énfasis2 2" xfId="291" xr:uid="{DC5579EE-6D31-4144-9978-C722BCDDB732}"/>
    <cellStyle name="20% - Énfasis3 2" xfId="292" xr:uid="{B0D33EB0-ADDB-4B66-9FF5-89029FEA30D4}"/>
    <cellStyle name="20% - Énfasis4 2" xfId="293" xr:uid="{F999C4C7-37DC-43D3-A32C-0A93B932C555}"/>
    <cellStyle name="20% - Énfasis5 2" xfId="294" xr:uid="{164F7FE8-B9F6-46EB-9A1A-EB8E1AAAD8A4}"/>
    <cellStyle name="20% - Énfasis6 2" xfId="295" xr:uid="{877BB7BA-2286-410F-A245-08AEA7DD9B9A}"/>
    <cellStyle name="20% - Έμφαση1" xfId="2" xr:uid="{00000000-0005-0000-0000-000001000000}"/>
    <cellStyle name="20% - Έμφαση2" xfId="3" xr:uid="{00000000-0005-0000-0000-000002000000}"/>
    <cellStyle name="20% - Έμφαση3" xfId="4" xr:uid="{00000000-0005-0000-0000-000003000000}"/>
    <cellStyle name="20% - Έμφαση4" xfId="5" xr:uid="{00000000-0005-0000-0000-000004000000}"/>
    <cellStyle name="20% - Έμφαση5" xfId="6" xr:uid="{00000000-0005-0000-0000-000005000000}"/>
    <cellStyle name="20% - Έμφαση6" xfId="7" xr:uid="{00000000-0005-0000-0000-000006000000}"/>
    <cellStyle name="40% - Accent1 2" xfId="195" xr:uid="{62626E5A-EFB9-435B-8790-9D7748951A49}"/>
    <cellStyle name="40% - Accent2 2" xfId="196" xr:uid="{DF6B0AD4-038E-4420-A11D-61D20A94D3A2}"/>
    <cellStyle name="40% - Accent3 2" xfId="197" xr:uid="{2CBB0B32-4A9F-4FB8-A397-66B64FF8317F}"/>
    <cellStyle name="40% - Accent4 2" xfId="198" xr:uid="{CB9678B4-E0EF-42A7-95F4-5124D0E12492}"/>
    <cellStyle name="40% - Accent5 2" xfId="199" xr:uid="{62FE6B18-441E-4F3D-AC6E-A29EA14632CC}"/>
    <cellStyle name="40% - Accent6 2" xfId="200" xr:uid="{33349093-A47A-4A93-903A-0201B492DA13}"/>
    <cellStyle name="40% - Énfasis1 2" xfId="296" xr:uid="{82D14BAE-43A6-4B41-A49C-7DE2D94CD669}"/>
    <cellStyle name="40% - Énfasis2 2" xfId="297" xr:uid="{C6809D7C-AC64-4503-B4F6-518B5B2D88AA}"/>
    <cellStyle name="40% - Énfasis3 2" xfId="298" xr:uid="{F111ECF3-2433-46B9-B8DC-E68751579661}"/>
    <cellStyle name="40% - Énfasis4 2" xfId="299" xr:uid="{372A998B-2FD4-4A1F-AEF5-E2194B19A8E6}"/>
    <cellStyle name="40% - Énfasis5 2" xfId="300" xr:uid="{AB8BEE18-392E-4BE6-BB9F-296A1614CB60}"/>
    <cellStyle name="40% - Énfasis6 2" xfId="301" xr:uid="{BB78DF3F-BC5D-4686-9D7F-84E6326E1141}"/>
    <cellStyle name="40% - Έμφαση1" xfId="8" xr:uid="{00000000-0005-0000-0000-000007000000}"/>
    <cellStyle name="40% - Έμφαση2" xfId="9" xr:uid="{00000000-0005-0000-0000-000008000000}"/>
    <cellStyle name="40% - Έμφαση3" xfId="10" xr:uid="{00000000-0005-0000-0000-000009000000}"/>
    <cellStyle name="40% - Έμφαση4" xfId="11" xr:uid="{00000000-0005-0000-0000-00000A000000}"/>
    <cellStyle name="40% - Έμφαση5" xfId="12" xr:uid="{00000000-0005-0000-0000-00000B000000}"/>
    <cellStyle name="40% - Έμφαση6" xfId="13" xr:uid="{00000000-0005-0000-0000-00000C000000}"/>
    <cellStyle name="60% - Accent1 2" xfId="201" xr:uid="{6747AD37-3A86-44FC-A73C-2C81F15F5BF4}"/>
    <cellStyle name="60% - Accent2 2" xfId="202" xr:uid="{8257C9ED-B622-41DE-8767-B0FB7EA51D47}"/>
    <cellStyle name="60% - Accent3 2" xfId="203" xr:uid="{C8E38F5C-784E-4572-90FC-E6F9513E8053}"/>
    <cellStyle name="60% - Accent4 2" xfId="204" xr:uid="{B491124E-481B-48D8-9553-F6CA4A9BA6FD}"/>
    <cellStyle name="60% - Accent5 2" xfId="205" xr:uid="{FB4889AA-B2A3-4491-BDB4-F43E2A416595}"/>
    <cellStyle name="60% - Accent6 2" xfId="206" xr:uid="{E697CB78-5BDA-4E8E-A51D-843A1BB48E82}"/>
    <cellStyle name="60% - Énfasis1 2" xfId="302" xr:uid="{1B27A5F1-FE71-4EBF-8395-F32B1A945D2B}"/>
    <cellStyle name="60% - Énfasis2 2" xfId="303" xr:uid="{7A8D54EE-019A-4D3B-B480-28583DA5F206}"/>
    <cellStyle name="60% - Énfasis3 2" xfId="304" xr:uid="{D0D5850C-93D0-433A-8FE6-DB93474FBCD1}"/>
    <cellStyle name="60% - Énfasis4 2" xfId="305" xr:uid="{87B63345-DA2A-45A2-8C1D-DED71AB11C1D}"/>
    <cellStyle name="60% - Énfasis5 2" xfId="306" xr:uid="{4363EE54-E45C-4465-8275-A6E9EB13BF5B}"/>
    <cellStyle name="60% - Énfasis6 2" xfId="307" xr:uid="{D712C3FC-FF69-4B77-B076-43112E2DC908}"/>
    <cellStyle name="60% - Έμφαση1" xfId="14" xr:uid="{00000000-0005-0000-0000-00000D000000}"/>
    <cellStyle name="60% - Έμφαση2" xfId="15" xr:uid="{00000000-0005-0000-0000-00000E000000}"/>
    <cellStyle name="60% - Έμφαση3" xfId="16" xr:uid="{00000000-0005-0000-0000-00000F000000}"/>
    <cellStyle name="60% - Έμφαση4" xfId="17" xr:uid="{00000000-0005-0000-0000-000010000000}"/>
    <cellStyle name="60% - Έμφαση5" xfId="18" xr:uid="{00000000-0005-0000-0000-000011000000}"/>
    <cellStyle name="60% - Έμφαση6" xfId="19" xr:uid="{00000000-0005-0000-0000-000012000000}"/>
    <cellStyle name="Accent1 2" xfId="207" xr:uid="{1DE93CA7-99F6-4E05-90D0-7070E37724EC}"/>
    <cellStyle name="Accent2 2" xfId="208" xr:uid="{CF9B51F0-4D22-49F4-BB97-C0EA3037FC5F}"/>
    <cellStyle name="Accent3 2" xfId="209" xr:uid="{80922F36-B125-42FC-BC9E-72FDDE0926F3}"/>
    <cellStyle name="Accent4 2" xfId="210" xr:uid="{17176ADB-5118-42D4-B3C8-F175CFC3BF75}"/>
    <cellStyle name="Accent5 2" xfId="211" xr:uid="{2EAC8624-6F82-4168-BF56-0281D61B1750}"/>
    <cellStyle name="Accent6 2" xfId="212" xr:uid="{B0BAA119-EBF7-486E-A65B-D29A2BEB0C16}"/>
    <cellStyle name="Bé" xfId="213" xr:uid="{B3C288ED-1B01-48F1-BCED-F8779D04DD2A}"/>
    <cellStyle name="Buena 2" xfId="308" xr:uid="{3D090261-D66F-4FB9-B9F1-7ADCF3FF5630}"/>
    <cellStyle name="Càlcul" xfId="214" xr:uid="{6539A578-0DDE-4169-B5A1-8736BF6A22DA}"/>
    <cellStyle name="Càlcul 2" xfId="345" xr:uid="{2B9E7BA1-0F57-497E-9AE5-C29A2D64EBF1}"/>
    <cellStyle name="Cálculo 2" xfId="309" xr:uid="{9D2DA857-90BD-4784-B288-335C5E70717F}"/>
    <cellStyle name="Cálculo 2 2" xfId="348" xr:uid="{9D3F7872-AC1A-4219-B76D-FACA050FA054}"/>
    <cellStyle name="Cel·la de comprovació" xfId="215" xr:uid="{0E69E43A-25E1-4D91-8B65-594F4FD8CADA}"/>
    <cellStyle name="Cel·la enllaçada" xfId="216" xr:uid="{65F70AEA-D71A-46C2-8462-C769128E0EB9}"/>
    <cellStyle name="Celda de comprobación 2" xfId="310" xr:uid="{6B821160-7FE6-431F-ACC7-C83BF5756B75}"/>
    <cellStyle name="Celda vinculada 2" xfId="311" xr:uid="{6C6175E3-7950-4264-BA48-E80EC2026CDE}"/>
    <cellStyle name="Comma" xfId="187" builtinId="3"/>
    <cellStyle name="Comma 2" xfId="353" xr:uid="{E5B0923A-9BC6-484A-A0B7-898EE3ED8FE2}"/>
    <cellStyle name="Comma 2 2" xfId="20" xr:uid="{00000000-0005-0000-0000-000014000000}"/>
    <cellStyle name="Comma0" xfId="21" xr:uid="{00000000-0005-0000-0000-000015000000}"/>
    <cellStyle name="Date" xfId="22" xr:uid="{00000000-0005-0000-0000-000016000000}"/>
    <cellStyle name="Dezimal [0]_1999" xfId="23" xr:uid="{00000000-0005-0000-0000-000017000000}"/>
    <cellStyle name="Dezimal_0111hufag" xfId="24" xr:uid="{00000000-0005-0000-0000-000018000000}"/>
    <cellStyle name="Encabezado 4 2" xfId="312" xr:uid="{AEA28409-DE54-406B-98CE-9CAC56459784}"/>
    <cellStyle name="Énfasis1 2" xfId="313" xr:uid="{DFA7B4E7-B49E-4275-BB0C-D0EF00E12384}"/>
    <cellStyle name="Énfasis2 2" xfId="314" xr:uid="{83ECC219-94FF-4020-BC6E-01581ADC3E26}"/>
    <cellStyle name="Énfasis3 2" xfId="315" xr:uid="{2AF4822D-1D05-4A13-901F-41AD6AC2F23A}"/>
    <cellStyle name="Énfasis4 2" xfId="316" xr:uid="{F90D823C-F454-41A1-9BC4-557F1B93DACA}"/>
    <cellStyle name="Énfasis5 2" xfId="317" xr:uid="{874FC357-7C40-4606-86CF-8C1DFAD0715E}"/>
    <cellStyle name="Énfasis6 2" xfId="318" xr:uid="{70635C51-702E-4221-BAA3-468DB158CA5E}"/>
    <cellStyle name="Entrada 2" xfId="319" xr:uid="{7019CA07-6DE4-4945-9AD7-0C57EC735A33}"/>
    <cellStyle name="Entrada 2 2" xfId="349" xr:uid="{C0DA7B64-1C3D-4C32-B9A5-176D853A7B3E}"/>
    <cellStyle name="Euro" xfId="25" xr:uid="{00000000-0005-0000-0000-000019000000}"/>
    <cellStyle name="Euro 2" xfId="217" xr:uid="{62DAED2B-285F-4AF3-BC7A-7CD507E5FE86}"/>
    <cellStyle name="F2" xfId="26" xr:uid="{00000000-0005-0000-0000-00001A000000}"/>
    <cellStyle name="F3" xfId="27" xr:uid="{00000000-0005-0000-0000-00001B000000}"/>
    <cellStyle name="F4" xfId="28" xr:uid="{00000000-0005-0000-0000-00001C000000}"/>
    <cellStyle name="F5" xfId="29" xr:uid="{00000000-0005-0000-0000-00001D000000}"/>
    <cellStyle name="F6" xfId="30" xr:uid="{00000000-0005-0000-0000-00001E000000}"/>
    <cellStyle name="F7" xfId="31" xr:uid="{00000000-0005-0000-0000-00001F000000}"/>
    <cellStyle name="F8" xfId="32" xr:uid="{00000000-0005-0000-0000-000020000000}"/>
    <cellStyle name="Fixed" xfId="33" xr:uid="{00000000-0005-0000-0000-000021000000}"/>
    <cellStyle name="Followed Hyperlink" xfId="34" builtinId="9"/>
    <cellStyle name="Gen_Black" xfId="35" xr:uid="{00000000-0005-0000-0000-000023000000}"/>
    <cellStyle name="gs]_x000d__x000a_Window=0,0,640,480, , ,3_x000d__x000a_dir1=5,7,637,250,-1,-1,1,30,201,1905,231,G:\UGRC\RB\B-DADOS\FOX-PRO\CRED-VEN\KP" xfId="36" xr:uid="{00000000-0005-0000-0000-000024000000}"/>
    <cellStyle name="Heading1" xfId="37" xr:uid="{00000000-0005-0000-0000-000025000000}"/>
    <cellStyle name="Heading2" xfId="38" xr:uid="{00000000-0005-0000-0000-000026000000}"/>
    <cellStyle name="Hyperlink" xfId="39" builtinId="8"/>
    <cellStyle name="Hyperlink 2" xfId="289" xr:uid="{7343E25B-3D34-4701-97C1-9EC6E866D027}"/>
    <cellStyle name="Incorrecte" xfId="218" xr:uid="{3A47BEDA-C9FC-45E8-BA9D-F0B38BBEADF9}"/>
    <cellStyle name="Incorrecto 2" xfId="320" xr:uid="{8714F20D-B91F-459D-8645-427F7A6D2D66}"/>
    <cellStyle name="Millares 2" xfId="219" xr:uid="{47CFFB67-16E1-4A53-A505-1D4AF9D0A8FE}"/>
    <cellStyle name="Millares 3" xfId="220" xr:uid="{9292156B-4DEA-4A06-9D03-D216A96C415F}"/>
    <cellStyle name="Milliers [0]_3A_NumeratorReport_Option1_040611" xfId="40" xr:uid="{00000000-0005-0000-0000-000028000000}"/>
    <cellStyle name="Milliers_3A_NumeratorReport_Option1_040611" xfId="41" xr:uid="{00000000-0005-0000-0000-000029000000}"/>
    <cellStyle name="Moeda [0]_1.1  ANEXO 1" xfId="42" xr:uid="{00000000-0005-0000-0000-00002A000000}"/>
    <cellStyle name="Moeda_1.1  ANEXO 1" xfId="43" xr:uid="{00000000-0005-0000-0000-00002B000000}"/>
    <cellStyle name="Monétaire [0]_3A_NumeratorReport_Option1_040611" xfId="44" xr:uid="{00000000-0005-0000-0000-00002C000000}"/>
    <cellStyle name="Monétaire_3A_NumeratorReport_Option1_040611" xfId="45" xr:uid="{00000000-0005-0000-0000-00002D000000}"/>
    <cellStyle name="Neutral 2" xfId="321" xr:uid="{70394ADD-8ED4-40F9-873E-3D09AA86B259}"/>
    <cellStyle name="No-definido" xfId="221" xr:uid="{A81D0B5A-CF85-4539-A85A-4FF72B8B944D}"/>
    <cellStyle name="Normal" xfId="0" builtinId="0"/>
    <cellStyle name="Normal 10" xfId="46" xr:uid="{00000000-0005-0000-0000-00002F000000}"/>
    <cellStyle name="Normal 10 2" xfId="222" xr:uid="{67784CB4-FD19-4B6B-8FC6-3C36BCA2B0F4}"/>
    <cellStyle name="Normal 11" xfId="47" xr:uid="{00000000-0005-0000-0000-000030000000}"/>
    <cellStyle name="Normal 11 2" xfId="223" xr:uid="{4E604F71-55A4-47CE-A7F7-788BA7FB26D0}"/>
    <cellStyle name="Normal 12" xfId="48" xr:uid="{00000000-0005-0000-0000-000031000000}"/>
    <cellStyle name="Normal 12 2" xfId="224" xr:uid="{2DFE48E0-DFFA-48E8-87AA-9024976CB9F5}"/>
    <cellStyle name="Normal 13" xfId="49" xr:uid="{00000000-0005-0000-0000-000032000000}"/>
    <cellStyle name="Normal 13 2" xfId="225" xr:uid="{9F66D035-9CD5-4D8A-824F-689DB69CBDC2}"/>
    <cellStyle name="Normal 14" xfId="50" xr:uid="{00000000-0005-0000-0000-000033000000}"/>
    <cellStyle name="Normal 14 2" xfId="226" xr:uid="{0CEC90A7-F46D-46C8-B2A8-CF7E00F86FBB}"/>
    <cellStyle name="Normal 15" xfId="51" xr:uid="{00000000-0005-0000-0000-000034000000}"/>
    <cellStyle name="Normal 15 2" xfId="227" xr:uid="{FA11DBAF-B035-40C0-A4B1-E1063066884D}"/>
    <cellStyle name="Normal 16" xfId="178" xr:uid="{00000000-0005-0000-0000-000035000000}"/>
    <cellStyle name="Normal 16 2" xfId="229" xr:uid="{B180965C-F8EA-480B-A216-4A85B41C38FB}"/>
    <cellStyle name="Normal 16 3" xfId="228" xr:uid="{0C9BD021-D2CF-411B-867A-B909C37AA516}"/>
    <cellStyle name="Normal 17" xfId="186" xr:uid="{00000000-0005-0000-0000-000036000000}"/>
    <cellStyle name="Normal 17 2" xfId="231" xr:uid="{DFE46B97-0DC7-46D8-B346-1CB8AD6D023E}"/>
    <cellStyle name="Normal 17 3" xfId="230" xr:uid="{A3D88E99-6EFC-44AD-9A3A-07CE04A17B04}"/>
    <cellStyle name="Normal 18" xfId="232" xr:uid="{0B937D13-03CC-4726-B5E0-87EDB6A19DF9}"/>
    <cellStyle name="Normal 18 2" xfId="233" xr:uid="{7D8D438F-27A3-423D-98E2-414FCB7911B6}"/>
    <cellStyle name="Normal 18 2 2" xfId="341" xr:uid="{AECADB38-4B2F-432A-863F-0DBDD9F0257C}"/>
    <cellStyle name="Normal 18 3" xfId="331" xr:uid="{A4386136-6C92-4CFE-A6FB-392FCC51FB0C}"/>
    <cellStyle name="Normal 18 4" xfId="288" xr:uid="{73D776C4-570D-420B-9854-6B0B0C929496}"/>
    <cellStyle name="Normal 19" xfId="234" xr:uid="{2F4B468B-FFE0-4AAB-AE63-134D45E11248}"/>
    <cellStyle name="Normal 2" xfId="52" xr:uid="{00000000-0005-0000-0000-000037000000}"/>
    <cellStyle name="Normal 2 2" xfId="53" xr:uid="{00000000-0005-0000-0000-000038000000}"/>
    <cellStyle name="Normal 2 2 2" xfId="237" xr:uid="{21597640-5E74-4E50-85F7-8355BBBC64FD}"/>
    <cellStyle name="Normal 2 2 3" xfId="238" xr:uid="{01E17C71-1906-476D-895F-429145D1A594}"/>
    <cellStyle name="Normal 2 2 4" xfId="236" xr:uid="{25FFEC01-527A-4735-886A-85BA1D2A0276}"/>
    <cellStyle name="Normal 2 3" xfId="54" xr:uid="{00000000-0005-0000-0000-000039000000}"/>
    <cellStyle name="Normal 2 3 2" xfId="239" xr:uid="{491D5DB6-A55E-4165-B4C2-D5D9A7EFAF05}"/>
    <cellStyle name="Normal 2 4" xfId="240" xr:uid="{EBC203A1-FB75-4691-8A01-ECCA1889A744}"/>
    <cellStyle name="Normal 2 5" xfId="241" xr:uid="{8E4B92AF-1985-415C-888B-C72CDDD8FF91}"/>
    <cellStyle name="Normal 2 6" xfId="235" xr:uid="{CE1C2706-345B-4A3E-8821-A9E04AE08B29}"/>
    <cellStyle name="Normal 2_PBG_BUSINESS_PLAN_'11-'14-BASEfinal" xfId="55" xr:uid="{00000000-0005-0000-0000-00003A000000}"/>
    <cellStyle name="Normal 20" xfId="182" xr:uid="{00000000-0005-0000-0000-00003B000000}"/>
    <cellStyle name="Normal 20 2" xfId="242" xr:uid="{FFA94CA5-9A6B-44D6-A316-DB09D9B63B33}"/>
    <cellStyle name="Normal 20 3" xfId="333" xr:uid="{23F09574-2B0C-499D-B0EC-D7258E1891BA}"/>
    <cellStyle name="Normal 20 9" xfId="344" xr:uid="{AF9360E7-D1B9-4F39-8470-BC9BC4186BE5}"/>
    <cellStyle name="Normal 21" xfId="188" xr:uid="{DE5D6731-9A26-41B6-949C-91947627DD1A}"/>
    <cellStyle name="Normal 23" xfId="332" xr:uid="{6D796653-EEF4-4793-9AFA-CBCF326B2CAC}"/>
    <cellStyle name="Normal 26" xfId="243" xr:uid="{D787AC51-D735-4E0C-81F6-55D73BCE0D97}"/>
    <cellStyle name="Normal 3" xfId="56" xr:uid="{00000000-0005-0000-0000-00003C000000}"/>
    <cellStyle name="Normal 3 10" xfId="244" xr:uid="{0A7A840E-3C04-4095-B848-A846D28B65A5}"/>
    <cellStyle name="Normal 3 2" xfId="180" xr:uid="{00000000-0005-0000-0000-00003D000000}"/>
    <cellStyle name="Normal 3 2 2" xfId="245" xr:uid="{8E5911C6-9CBB-4AB2-9FAC-18C32D2EBFC6}"/>
    <cellStyle name="Normal 3 3" xfId="246" xr:uid="{347911A7-4911-449D-B529-71D060171837}"/>
    <cellStyle name="Normal 3 4" xfId="247" xr:uid="{08B128DF-6512-40F8-BC84-9F3C0B3B51C5}"/>
    <cellStyle name="Normal 3 5" xfId="248" xr:uid="{7E8CEEAF-C3DA-472F-AF3B-B2821E67B62B}"/>
    <cellStyle name="Normal 3 6" xfId="249" xr:uid="{CD214EB3-0C74-4E89-AE6B-3EDE5AE3FF9F}"/>
    <cellStyle name="Normal 3 7" xfId="250" xr:uid="{FDCEB656-A0F1-47A6-BD54-7A4423A887CE}"/>
    <cellStyle name="Normal 3 8" xfId="251" xr:uid="{52D0304D-C749-4AAB-A1FC-EA05A6FAB34F}"/>
    <cellStyle name="Normal 3 8 2" xfId="287" xr:uid="{5330D73B-69DE-4951-B687-54B8061E8753}"/>
    <cellStyle name="Normal 3 9" xfId="252" xr:uid="{77CA5D6A-FE78-422B-8C5C-6922D110BECE}"/>
    <cellStyle name="Normal 4" xfId="57" xr:uid="{00000000-0005-0000-0000-00003E000000}"/>
    <cellStyle name="Normal 4 2" xfId="254" xr:uid="{2254B5C6-E5A4-45B2-AE51-4E91315BE54C}"/>
    <cellStyle name="Normal 4 3" xfId="253" xr:uid="{09AE8575-6958-4AF6-8F05-4EEAB7B7C672}"/>
    <cellStyle name="Normal 5" xfId="58" xr:uid="{00000000-0005-0000-0000-00003F000000}"/>
    <cellStyle name="Normal 5 2" xfId="59" xr:uid="{00000000-0005-0000-0000-000040000000}"/>
    <cellStyle name="Normal 5 2 2" xfId="338" xr:uid="{16CB18B2-2A1B-4117-95CD-57412B319E16}"/>
    <cellStyle name="Normal 5 3" xfId="60" xr:uid="{00000000-0005-0000-0000-000041000000}"/>
    <cellStyle name="Normal 5 3 2" xfId="339" xr:uid="{787E39AB-5344-4248-8FAA-DF1C5082F38C}"/>
    <cellStyle name="Normal 5 4" xfId="61" xr:uid="{00000000-0005-0000-0000-000042000000}"/>
    <cellStyle name="Normal 5 5" xfId="255" xr:uid="{2378182A-66F5-4B77-A99C-A7B0F2061721}"/>
    <cellStyle name="Normal 5_PBB_BP_2008_2010_20071115_Final" xfId="62" xr:uid="{00000000-0005-0000-0000-000043000000}"/>
    <cellStyle name="Normal 6" xfId="63" xr:uid="{00000000-0005-0000-0000-000044000000}"/>
    <cellStyle name="Normal 6 2" xfId="257" xr:uid="{BB4AD302-A4D3-4FCE-BA9E-5A021314B94A}"/>
    <cellStyle name="Normal 6 3" xfId="256" xr:uid="{1FE63987-A918-479A-BBB6-B5B1F878C2CC}"/>
    <cellStyle name="Normal 7" xfId="64" xr:uid="{00000000-0005-0000-0000-000045000000}"/>
    <cellStyle name="Normal 7 10" xfId="335" xr:uid="{0FA2CF92-9831-40AD-AE3E-DD5F14FF4F7A}"/>
    <cellStyle name="Normal 7 2" xfId="258" xr:uid="{F9347079-DD98-4901-A34E-1DFE6119AB50}"/>
    <cellStyle name="Normal 8" xfId="65" xr:uid="{00000000-0005-0000-0000-000046000000}"/>
    <cellStyle name="Normal 8 2" xfId="259" xr:uid="{57032396-912B-4089-8B0B-1184847E6477}"/>
    <cellStyle name="Normal 9" xfId="66" xr:uid="{00000000-0005-0000-0000-000047000000}"/>
    <cellStyle name="Normal 9 2" xfId="260" xr:uid="{4DE18167-E20E-432B-9D7E-5495AE659032}"/>
    <cellStyle name="Normal 9 3" xfId="261" xr:uid="{47DB3A79-58AB-4DE8-8970-BA4881471CC5}"/>
    <cellStyle name="Normal_BS analysis" xfId="67" xr:uid="{00000000-0005-0000-0000-000048000000}"/>
    <cellStyle name="Normal_Copy of Divisional_Database_4Q09_website" xfId="68" xr:uid="{00000000-0005-0000-0000-000049000000}"/>
    <cellStyle name="Normal_Copy of Divisional_Database_4Q09_website 2" xfId="184" xr:uid="{00000000-0005-0000-0000-00004A000000}"/>
    <cellStyle name="Nota" xfId="262" xr:uid="{527D973E-83C5-4A0C-9139-5D53357A1343}"/>
    <cellStyle name="Nota 2" xfId="346" xr:uid="{57A455D0-C650-4130-80E0-EA52A8DC579E}"/>
    <cellStyle name="Notas 2" xfId="322" xr:uid="{DF6CD02E-05A9-499E-90D4-28590E3D409A}"/>
    <cellStyle name="Notas 2 2" xfId="350" xr:uid="{94786DE0-A24C-4B25-8027-D832A367C3A4}"/>
    <cellStyle name="OPXArea" xfId="69" xr:uid="{00000000-0005-0000-0000-00004B000000}"/>
    <cellStyle name="OPXButtonBar" xfId="70" xr:uid="{00000000-0005-0000-0000-00004C000000}"/>
    <cellStyle name="OPXHeadingArea" xfId="71" xr:uid="{00000000-0005-0000-0000-00004D000000}"/>
    <cellStyle name="OPXHeadingRange" xfId="72" xr:uid="{00000000-0005-0000-0000-00004E000000}"/>
    <cellStyle name="OPXHeadingWorkbook" xfId="73" xr:uid="{00000000-0005-0000-0000-00004F000000}"/>
    <cellStyle name="OPXInDate" xfId="74" xr:uid="{00000000-0005-0000-0000-000050000000}"/>
    <cellStyle name="OPXInFmat1" xfId="75" xr:uid="{00000000-0005-0000-0000-000051000000}"/>
    <cellStyle name="OPXInFmat10" xfId="76" xr:uid="{00000000-0005-0000-0000-000052000000}"/>
    <cellStyle name="OPXInFmat11" xfId="77" xr:uid="{00000000-0005-0000-0000-000053000000}"/>
    <cellStyle name="OPXInFmat2" xfId="78" xr:uid="{00000000-0005-0000-0000-000054000000}"/>
    <cellStyle name="OPXInFmat23" xfId="79" xr:uid="{00000000-0005-0000-0000-000055000000}"/>
    <cellStyle name="OPXInFmat25" xfId="80" xr:uid="{00000000-0005-0000-0000-000056000000}"/>
    <cellStyle name="OPXInFmat26" xfId="81" xr:uid="{00000000-0005-0000-0000-000057000000}"/>
    <cellStyle name="OPXInFmat27" xfId="82" xr:uid="{00000000-0005-0000-0000-000058000000}"/>
    <cellStyle name="OPXInFmat5" xfId="83" xr:uid="{00000000-0005-0000-0000-000059000000}"/>
    <cellStyle name="OPXInFmat6" xfId="84" xr:uid="{00000000-0005-0000-0000-00005A000000}"/>
    <cellStyle name="OPXInFmat7" xfId="85" xr:uid="{00000000-0005-0000-0000-00005B000000}"/>
    <cellStyle name="OPXInFmat8" xfId="86" xr:uid="{00000000-0005-0000-0000-00005C000000}"/>
    <cellStyle name="OPXInFmat9" xfId="87" xr:uid="{00000000-0005-0000-0000-00005D000000}"/>
    <cellStyle name="OPXInFmatRate61" xfId="88" xr:uid="{00000000-0005-0000-0000-00005E000000}"/>
    <cellStyle name="OPXInFmatRate62" xfId="89" xr:uid="{00000000-0005-0000-0000-00005F000000}"/>
    <cellStyle name="OPXInFmatRate63" xfId="90" xr:uid="{00000000-0005-0000-0000-000060000000}"/>
    <cellStyle name="OPXInFmatRate64" xfId="91" xr:uid="{00000000-0005-0000-0000-000061000000}"/>
    <cellStyle name="OPXInFmatRate65" xfId="92" xr:uid="{00000000-0005-0000-0000-000062000000}"/>
    <cellStyle name="OPXInFmatRate66" xfId="93" xr:uid="{00000000-0005-0000-0000-000063000000}"/>
    <cellStyle name="OPXInFmatRate67" xfId="94" xr:uid="{00000000-0005-0000-0000-000064000000}"/>
    <cellStyle name="OPXInFmatRate68" xfId="95" xr:uid="{00000000-0005-0000-0000-000065000000}"/>
    <cellStyle name="OPXInText" xfId="96" xr:uid="{00000000-0005-0000-0000-000066000000}"/>
    <cellStyle name="OPXInTextWrap" xfId="97" xr:uid="{00000000-0005-0000-0000-000067000000}"/>
    <cellStyle name="OPXInTime" xfId="98" xr:uid="{00000000-0005-0000-0000-000068000000}"/>
    <cellStyle name="OPXLiteralCenter" xfId="99" xr:uid="{00000000-0005-0000-0000-000069000000}"/>
    <cellStyle name="OPXLiteralCenterWrap" xfId="100" xr:uid="{00000000-0005-0000-0000-00006A000000}"/>
    <cellStyle name="OPXLiteralDateLeft" xfId="101" xr:uid="{00000000-0005-0000-0000-00006B000000}"/>
    <cellStyle name="OPXLiteralLeft" xfId="102" xr:uid="{00000000-0005-0000-0000-00006C000000}"/>
    <cellStyle name="OPXLiteralLeftWrap" xfId="103" xr:uid="{00000000-0005-0000-0000-00006D000000}"/>
    <cellStyle name="OPXLiteralRight" xfId="104" xr:uid="{00000000-0005-0000-0000-00006E000000}"/>
    <cellStyle name="OPXLiteralRightWrap" xfId="105" xr:uid="{00000000-0005-0000-0000-00006F000000}"/>
    <cellStyle name="OPXOutDate" xfId="106" xr:uid="{00000000-0005-0000-0000-000070000000}"/>
    <cellStyle name="OPXOutFmat1" xfId="107" xr:uid="{00000000-0005-0000-0000-000071000000}"/>
    <cellStyle name="OPXOutFmat10" xfId="108" xr:uid="{00000000-0005-0000-0000-000072000000}"/>
    <cellStyle name="OPXOutFmat11" xfId="109" xr:uid="{00000000-0005-0000-0000-000073000000}"/>
    <cellStyle name="OPXOutFmat2" xfId="110" xr:uid="{00000000-0005-0000-0000-000074000000}"/>
    <cellStyle name="OPXOutFmat23" xfId="111" xr:uid="{00000000-0005-0000-0000-000075000000}"/>
    <cellStyle name="OPXOutFmat25" xfId="112" xr:uid="{00000000-0005-0000-0000-000076000000}"/>
    <cellStyle name="OPXOutFmat26" xfId="113" xr:uid="{00000000-0005-0000-0000-000077000000}"/>
    <cellStyle name="OPXOutFmat27" xfId="114" xr:uid="{00000000-0005-0000-0000-000078000000}"/>
    <cellStyle name="OPXOutFmat5" xfId="115" xr:uid="{00000000-0005-0000-0000-000079000000}"/>
    <cellStyle name="OPXOutFmat6" xfId="116" xr:uid="{00000000-0005-0000-0000-00007A000000}"/>
    <cellStyle name="OPXOutFmat7" xfId="117" xr:uid="{00000000-0005-0000-0000-00007B000000}"/>
    <cellStyle name="OPXOutFmat8" xfId="118" xr:uid="{00000000-0005-0000-0000-00007C000000}"/>
    <cellStyle name="OPXOutFmat9" xfId="119" xr:uid="{00000000-0005-0000-0000-00007D000000}"/>
    <cellStyle name="OPXOutFmatRate61" xfId="120" xr:uid="{00000000-0005-0000-0000-00007E000000}"/>
    <cellStyle name="OPXOutFmatRate62" xfId="121" xr:uid="{00000000-0005-0000-0000-00007F000000}"/>
    <cellStyle name="OPXOutFmatRate63" xfId="122" xr:uid="{00000000-0005-0000-0000-000080000000}"/>
    <cellStyle name="OPXOutFmatRate64" xfId="123" xr:uid="{00000000-0005-0000-0000-000081000000}"/>
    <cellStyle name="OPXOutFmatRate65" xfId="124" xr:uid="{00000000-0005-0000-0000-000082000000}"/>
    <cellStyle name="OPXOutFmatRate66" xfId="125" xr:uid="{00000000-0005-0000-0000-000083000000}"/>
    <cellStyle name="OPXOutFmatRate67" xfId="126" xr:uid="{00000000-0005-0000-0000-000084000000}"/>
    <cellStyle name="OPXOutFmatRate68" xfId="127" xr:uid="{00000000-0005-0000-0000-000085000000}"/>
    <cellStyle name="OPXOutText" xfId="128" xr:uid="{00000000-0005-0000-0000-000086000000}"/>
    <cellStyle name="OPXOutTextWrap" xfId="129" xr:uid="{00000000-0005-0000-0000-000087000000}"/>
    <cellStyle name="OPXOutTime" xfId="130" xr:uid="{00000000-0005-0000-0000-000088000000}"/>
    <cellStyle name="OPXProtected" xfId="131" xr:uid="{00000000-0005-0000-0000-000089000000}"/>
    <cellStyle name="Percent" xfId="132" builtinId="5"/>
    <cellStyle name="Percent 2" xfId="133" xr:uid="{00000000-0005-0000-0000-00008B000000}"/>
    <cellStyle name="Percent 2 2" xfId="185" xr:uid="{00000000-0005-0000-0000-00008C000000}"/>
    <cellStyle name="Percent 2 2 10" xfId="177" xr:uid="{00000000-0005-0000-0000-00008D000000}"/>
    <cellStyle name="Percent 2 3" xfId="342" xr:uid="{45AD7C1F-7264-4E49-950D-369B77657518}"/>
    <cellStyle name="Percent 3" xfId="179" xr:uid="{00000000-0005-0000-0000-00008E000000}"/>
    <cellStyle name="Percent 3 2" xfId="181" xr:uid="{00000000-0005-0000-0000-00008F000000}"/>
    <cellStyle name="Percent 3 3" xfId="343" xr:uid="{00A2F95C-3C71-4289-85EA-2BAEE431C169}"/>
    <cellStyle name="Percent 4" xfId="340" xr:uid="{76B19481-C0F0-4283-A22C-780F829B9C2D}"/>
    <cellStyle name="Percent 5" xfId="183" xr:uid="{00000000-0005-0000-0000-000090000000}"/>
    <cellStyle name="Percent 6" xfId="336" xr:uid="{96F85719-D913-4101-90D0-CF771C1741BB}"/>
    <cellStyle name="Percent 7" xfId="337" xr:uid="{832092AF-40B0-439D-BD0D-5EA229591604}"/>
    <cellStyle name="Porcentual 10" xfId="263" xr:uid="{A0C5675B-4DEF-4EB5-9CCE-E9089DEB4D8A}"/>
    <cellStyle name="Porcentual 11" xfId="264" xr:uid="{F86311E0-025C-4A3F-84B3-54A4F2D9618E}"/>
    <cellStyle name="Porcentual 18" xfId="265" xr:uid="{36191990-25CE-4088-84B3-4A3C7AC8B61B}"/>
    <cellStyle name="Porcentual 2" xfId="266" xr:uid="{8F5C8527-6819-4BD6-AF0C-2BF9DB2452DD}"/>
    <cellStyle name="Porcentual 2 2" xfId="267" xr:uid="{7209F397-EB7C-4CF2-ACBE-E815EBDEAE0D}"/>
    <cellStyle name="Porcentual 3" xfId="268" xr:uid="{5D9DEE43-1AFF-41A2-8DE3-5C4D0E0E87FC}"/>
    <cellStyle name="Porcentual 3 2" xfId="269" xr:uid="{82412CEE-A0BA-44D9-B6D6-30560D34677C}"/>
    <cellStyle name="Porcentual 30" xfId="270" xr:uid="{9F13DCE8-0D2B-4764-9F67-385416CE72EF}"/>
    <cellStyle name="Porcentual 32" xfId="271" xr:uid="{AC2EF77F-9B67-4310-81BC-8F7DA72A419E}"/>
    <cellStyle name="Porcentual 35" xfId="334" xr:uid="{CC60B778-69CD-4AAA-9D24-08D54B99319B}"/>
    <cellStyle name="Porcentual 4" xfId="272" xr:uid="{B3093905-A362-4C4B-A22B-5AD7F5DF3DFD}"/>
    <cellStyle name="Porcentual 5" xfId="273" xr:uid="{C5D41EF2-119A-4B95-BCFC-D3AF0322EDEF}"/>
    <cellStyle name="Porcentual 6" xfId="274" xr:uid="{05F09382-6192-41BE-B1FD-4A235BE2B224}"/>
    <cellStyle name="Porcentual 7" xfId="275" xr:uid="{26AC3F14-FBF6-4213-ADCE-745C14957D46}"/>
    <cellStyle name="Porcentual 8" xfId="276" xr:uid="{4465F50C-E37C-472E-897D-99C4EA2CEB78}"/>
    <cellStyle name="Porcentual 9" xfId="277" xr:uid="{1B478660-9CBC-474D-B315-41D9EE24B26B}"/>
    <cellStyle name="Porcentual 9 2" xfId="278" xr:uid="{3F645154-8EFC-4A29-9F46-EBF28F90A972}"/>
    <cellStyle name="Resultat" xfId="279" xr:uid="{8DBBFD3F-C52D-4298-A038-B27588CCF286}"/>
    <cellStyle name="Resultat 2" xfId="347" xr:uid="{D8AFDD8E-9295-4BF5-8B44-0DA7D0DBD9CB}"/>
    <cellStyle name="Salida 2" xfId="323" xr:uid="{EAF84BCB-77AD-4543-918E-A0F2D81B4D4E}"/>
    <cellStyle name="Salida 2 2" xfId="351" xr:uid="{C843DAF2-EECC-4705-954F-176847A2F099}"/>
    <cellStyle name="Separador de milhares [0]_1.1  ANEXO 1" xfId="134" xr:uid="{00000000-0005-0000-0000-000091000000}"/>
    <cellStyle name="Separador de milhares_1.1  ANEXO 1" xfId="135" xr:uid="{00000000-0005-0000-0000-000092000000}"/>
    <cellStyle name="Standard_#CEE 2001" xfId="136" xr:uid="{00000000-0005-0000-0000-000093000000}"/>
    <cellStyle name="Style 1" xfId="137" xr:uid="{00000000-0005-0000-0000-000094000000}"/>
    <cellStyle name="Text d'advertiment" xfId="280" xr:uid="{B18E7313-5E17-40BF-89DF-05E90B3B07BF}"/>
    <cellStyle name="Text explicatiu" xfId="281" xr:uid="{0DB40476-3F1F-44DA-B17B-7403C0743B10}"/>
    <cellStyle name="Texto de advertencia 2" xfId="324" xr:uid="{5465BE85-A842-4CCB-9191-5F820645F4E0}"/>
    <cellStyle name="Texto explicativo 2" xfId="325" xr:uid="{A749A5C2-9EB9-4847-8CB3-9B4386DCDE4C}"/>
    <cellStyle name="TitleCols_Gen_pC" xfId="138" xr:uid="{00000000-0005-0000-0000-000095000000}"/>
    <cellStyle name="TitleLines_Gen" xfId="139" xr:uid="{00000000-0005-0000-0000-000096000000}"/>
    <cellStyle name="Títol" xfId="282" xr:uid="{BD5D66A5-4AC1-4336-9FF3-40EF383859B2}"/>
    <cellStyle name="Títol 1" xfId="283" xr:uid="{32636E57-70DE-4B96-BCB4-E40A77CA14F5}"/>
    <cellStyle name="Títol 2" xfId="284" xr:uid="{5839A80D-8523-4493-86D2-E46CD65E7EC2}"/>
    <cellStyle name="Títol 3" xfId="285" xr:uid="{8AD44CFB-8B0E-457F-8B61-7088F7DE962E}"/>
    <cellStyle name="Títol 4" xfId="286" xr:uid="{E1A0A5AB-7EDE-4F07-B621-2E0FDD34C1AA}"/>
    <cellStyle name="Título 1 2" xfId="326" xr:uid="{DDA9FEC6-D1C3-45B2-9B54-44E7AB509AEF}"/>
    <cellStyle name="Título 2 2" xfId="327" xr:uid="{22BFDE36-23E9-4445-BBA8-4E55FA436C6F}"/>
    <cellStyle name="Título 3 2" xfId="328" xr:uid="{3D85C531-9024-4D71-A921-3038D14C0E27}"/>
    <cellStyle name="Título 4" xfId="329" xr:uid="{31383B3C-AB68-4467-B274-B7410C722B08}"/>
    <cellStyle name="Total 2" xfId="330" xr:uid="{C2D257E6-4824-4066-9F23-119BE1A821DD}"/>
    <cellStyle name="Total 2 2" xfId="352" xr:uid="{AF29083B-26FB-4D7F-8489-6933CFC35BAE}"/>
    <cellStyle name="Undefiniert" xfId="140" xr:uid="{00000000-0005-0000-0000-000097000000}"/>
    <cellStyle name="Virgulă_BVC 2001-propuneri" xfId="141" xr:uid="{00000000-0005-0000-0000-000098000000}"/>
    <cellStyle name="Währung [0]_1999" xfId="142" xr:uid="{00000000-0005-0000-0000-000099000000}"/>
    <cellStyle name="Währung_1999" xfId="143" xr:uid="{00000000-0005-0000-0000-00009A000000}"/>
    <cellStyle name="Βασικό_12.6.96" xfId="144" xr:uid="{00000000-0005-0000-0000-00009B000000}"/>
    <cellStyle name="Διαχωριστικό χιλιάδων/υποδιαστολή [0]_PIR9906isol_final" xfId="145" xr:uid="{00000000-0005-0000-0000-00009C000000}"/>
    <cellStyle name="Διαχωριστικό χιλιάδων/υποδιαστολή_Bond reconciliation SAP_TVS_MO 06 2007" xfId="146" xr:uid="{00000000-0005-0000-0000-00009D000000}"/>
    <cellStyle name="Εισαγωγή" xfId="147" xr:uid="{00000000-0005-0000-0000-00009E000000}"/>
    <cellStyle name="Έλεγχος κελιού" xfId="148" xr:uid="{00000000-0005-0000-0000-00009F000000}"/>
    <cellStyle name="Έμφαση1" xfId="149" xr:uid="{00000000-0005-0000-0000-0000A0000000}"/>
    <cellStyle name="Έμφαση2" xfId="150" xr:uid="{00000000-0005-0000-0000-0000A1000000}"/>
    <cellStyle name="Έμφαση3" xfId="151" xr:uid="{00000000-0005-0000-0000-0000A2000000}"/>
    <cellStyle name="Έμφαση4" xfId="152" xr:uid="{00000000-0005-0000-0000-0000A3000000}"/>
    <cellStyle name="Έμφαση5" xfId="153" xr:uid="{00000000-0005-0000-0000-0000A4000000}"/>
    <cellStyle name="Έμφαση6" xfId="154" xr:uid="{00000000-0005-0000-0000-0000A5000000}"/>
    <cellStyle name="Έξοδος" xfId="155" xr:uid="{00000000-0005-0000-0000-0000A6000000}"/>
    <cellStyle name="Επεξηγηματικό κείμενο" xfId="156" xr:uid="{00000000-0005-0000-0000-0000A7000000}"/>
    <cellStyle name="Επικεφαλίδα 1" xfId="157" xr:uid="{00000000-0005-0000-0000-0000A8000000}"/>
    <cellStyle name="Επικεφαλίδα 2" xfId="158" xr:uid="{00000000-0005-0000-0000-0000A9000000}"/>
    <cellStyle name="Επικεφαλίδα 3" xfId="159" xr:uid="{00000000-0005-0000-0000-0000AA000000}"/>
    <cellStyle name="Επικεφαλίδα 4" xfId="160" xr:uid="{00000000-0005-0000-0000-0000AB000000}"/>
    <cellStyle name="Κακό" xfId="161" xr:uid="{00000000-0005-0000-0000-0000AC000000}"/>
    <cellStyle name="Καλό" xfId="162" xr:uid="{00000000-0005-0000-0000-0000AD000000}"/>
    <cellStyle name="Κανονικό 2" xfId="163" xr:uid="{00000000-0005-0000-0000-0000AE000000}"/>
    <cellStyle name="Κανονικό 3" xfId="164" xr:uid="{00000000-0005-0000-0000-0000AF000000}"/>
    <cellStyle name="Κανονικό 4" xfId="165" xr:uid="{00000000-0005-0000-0000-0000B0000000}"/>
    <cellStyle name="Κόμμα 2" xfId="166" xr:uid="{00000000-0005-0000-0000-0000B1000000}"/>
    <cellStyle name="Κόμμα 3" xfId="167" xr:uid="{00000000-0005-0000-0000-0000B2000000}"/>
    <cellStyle name="Νομισματικό [0]_PIR9906isol_final" xfId="168" xr:uid="{00000000-0005-0000-0000-0000B3000000}"/>
    <cellStyle name="Νομισματικό_PIR9906isol_final" xfId="169" xr:uid="{00000000-0005-0000-0000-0000B4000000}"/>
    <cellStyle name="Ουδέτερο" xfId="170" xr:uid="{00000000-0005-0000-0000-0000B5000000}"/>
    <cellStyle name="Προειδοποιητικό κείμενο" xfId="171" xr:uid="{00000000-0005-0000-0000-0000B6000000}"/>
    <cellStyle name="Σημείωση" xfId="172" xr:uid="{00000000-0005-0000-0000-0000B7000000}"/>
    <cellStyle name="Συνδεδεμένο κελί" xfId="173" xr:uid="{00000000-0005-0000-0000-0000B8000000}"/>
    <cellStyle name="Σύνολο" xfId="174" xr:uid="{00000000-0005-0000-0000-0000B9000000}"/>
    <cellStyle name="Τίτλος" xfId="175" xr:uid="{00000000-0005-0000-0000-0000BA000000}"/>
    <cellStyle name="Υπολογισμός" xfId="176" xr:uid="{00000000-0005-0000-0000-0000BB000000}"/>
  </cellStyles>
  <dxfs count="0"/>
  <tableStyles count="0" defaultTableStyle="TableStyleMedium9" defaultPivotStyle="PivotStyleLight16"/>
  <colors>
    <mruColors>
      <color rgb="FF002F30"/>
      <color rgb="FFFFF5BF"/>
      <color rgb="FFE4E1D7"/>
      <color rgb="FF296ED4"/>
      <color rgb="FFCAC3AF"/>
      <color rgb="FFAF8043"/>
      <color rgb="FF809797"/>
      <color rgb="FF836031"/>
      <color rgb="FFAD804C"/>
      <color rgb="FF946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4</xdr:row>
      <xdr:rowOff>85725</xdr:rowOff>
    </xdr:from>
    <xdr:to>
      <xdr:col>2</xdr:col>
      <xdr:colOff>1508760</xdr:colOff>
      <xdr:row>5</xdr:row>
      <xdr:rowOff>123825</xdr:rowOff>
    </xdr:to>
    <xdr:pic>
      <xdr:nvPicPr>
        <xdr:cNvPr id="2" name="Picture 1" descr="A close up of a logo&#10;&#10;AI-generated content may be incorrect.">
          <a:extLst>
            <a:ext uri="{FF2B5EF4-FFF2-40B4-BE49-F238E27FC236}">
              <a16:creationId xmlns:a16="http://schemas.microsoft.com/office/drawing/2014/main" id="{CAC54080-60D0-E359-B163-843EDBE2C01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723900" y="933450"/>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57374</xdr:rowOff>
    </xdr:to>
    <xdr:pic>
      <xdr:nvPicPr>
        <xdr:cNvPr id="3" name="Picture 2" descr="A close up of a logo&#10;&#10;AI-generated content may be incorrect.">
          <a:extLst>
            <a:ext uri="{FF2B5EF4-FFF2-40B4-BE49-F238E27FC236}">
              <a16:creationId xmlns:a16="http://schemas.microsoft.com/office/drawing/2014/main" id="{EC5C1D5C-B13B-40AA-9335-3B10498C89C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1356360</xdr:colOff>
      <xdr:row>2</xdr:row>
      <xdr:rowOff>45944</xdr:rowOff>
    </xdr:to>
    <xdr:pic>
      <xdr:nvPicPr>
        <xdr:cNvPr id="3" name="Picture 2" descr="A close up of a logo&#10;&#10;AI-generated content may be incorrect.">
          <a:extLst>
            <a:ext uri="{FF2B5EF4-FFF2-40B4-BE49-F238E27FC236}">
              <a16:creationId xmlns:a16="http://schemas.microsoft.com/office/drawing/2014/main" id="{CB1C91DB-F8A9-45C4-8AE6-8D6BDFAFFAA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49754</xdr:rowOff>
    </xdr:to>
    <xdr:pic>
      <xdr:nvPicPr>
        <xdr:cNvPr id="3" name="Picture 2" descr="A close up of a logo&#10;&#10;AI-generated content may be incorrect.">
          <a:extLst>
            <a:ext uri="{FF2B5EF4-FFF2-40B4-BE49-F238E27FC236}">
              <a16:creationId xmlns:a16="http://schemas.microsoft.com/office/drawing/2014/main" id="{D9D160AA-D9BD-4109-AB2B-6AE5059595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57374</xdr:rowOff>
    </xdr:to>
    <xdr:pic>
      <xdr:nvPicPr>
        <xdr:cNvPr id="2" name="Picture 1" descr="A close up of a logo&#10;&#10;AI-generated content may be incorrect.">
          <a:extLst>
            <a:ext uri="{FF2B5EF4-FFF2-40B4-BE49-F238E27FC236}">
              <a16:creationId xmlns:a16="http://schemas.microsoft.com/office/drawing/2014/main" id="{F9E2C043-012C-4265-9EFF-23A5541C158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1352550</xdr:colOff>
      <xdr:row>2</xdr:row>
      <xdr:rowOff>53564</xdr:rowOff>
    </xdr:to>
    <xdr:pic>
      <xdr:nvPicPr>
        <xdr:cNvPr id="2" name="Picture 1" descr="A close up of a logo&#10;&#10;AI-generated content may be incorrect.">
          <a:extLst>
            <a:ext uri="{FF2B5EF4-FFF2-40B4-BE49-F238E27FC236}">
              <a16:creationId xmlns:a16="http://schemas.microsoft.com/office/drawing/2014/main" id="{BD3E55B8-E403-4175-8808-8E841588D48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1352550</xdr:colOff>
      <xdr:row>2</xdr:row>
      <xdr:rowOff>53564</xdr:rowOff>
    </xdr:to>
    <xdr:pic>
      <xdr:nvPicPr>
        <xdr:cNvPr id="2" name="Picture 1" descr="A close up of a logo&#10;&#10;AI-generated content may be incorrect.">
          <a:extLst>
            <a:ext uri="{FF2B5EF4-FFF2-40B4-BE49-F238E27FC236}">
              <a16:creationId xmlns:a16="http://schemas.microsoft.com/office/drawing/2014/main" id="{491647E7-DC7B-42D9-8689-7D4F2AA3D1E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57374</xdr:rowOff>
    </xdr:to>
    <xdr:pic>
      <xdr:nvPicPr>
        <xdr:cNvPr id="3" name="Picture 2" descr="A close up of a logo&#10;&#10;AI-generated content may be incorrect.">
          <a:extLst>
            <a:ext uri="{FF2B5EF4-FFF2-40B4-BE49-F238E27FC236}">
              <a16:creationId xmlns:a16="http://schemas.microsoft.com/office/drawing/2014/main" id="{ADB145AB-BD66-4AD6-BB92-8AB1466749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49754</xdr:rowOff>
    </xdr:to>
    <xdr:pic>
      <xdr:nvPicPr>
        <xdr:cNvPr id="2" name="Picture 1" descr="A close up of a logo&#10;&#10;AI-generated content may be incorrect.">
          <a:extLst>
            <a:ext uri="{FF2B5EF4-FFF2-40B4-BE49-F238E27FC236}">
              <a16:creationId xmlns:a16="http://schemas.microsoft.com/office/drawing/2014/main" id="{0547F9BE-A7DC-47EC-8252-2DFE0A3D04A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57374</xdr:rowOff>
    </xdr:to>
    <xdr:pic>
      <xdr:nvPicPr>
        <xdr:cNvPr id="2" name="Picture 1" descr="A close up of a logo&#10;&#10;AI-generated content may be incorrect.">
          <a:extLst>
            <a:ext uri="{FF2B5EF4-FFF2-40B4-BE49-F238E27FC236}">
              <a16:creationId xmlns:a16="http://schemas.microsoft.com/office/drawing/2014/main" id="{856DD6B4-712F-415B-9CBD-569C1A4260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61925" y="200025"/>
          <a:ext cx="1356360" cy="245969"/>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1356360</xdr:colOff>
      <xdr:row>2</xdr:row>
      <xdr:rowOff>45944</xdr:rowOff>
    </xdr:to>
    <xdr:pic>
      <xdr:nvPicPr>
        <xdr:cNvPr id="3" name="Picture 2" descr="A close up of a logo&#10;&#10;AI-generated content may be incorrect.">
          <a:extLst>
            <a:ext uri="{FF2B5EF4-FFF2-40B4-BE49-F238E27FC236}">
              <a16:creationId xmlns:a16="http://schemas.microsoft.com/office/drawing/2014/main" id="{4B3ECD67-01DD-4CD9-B8AA-D76CF1203A4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1352550</xdr:colOff>
      <xdr:row>2</xdr:row>
      <xdr:rowOff>58578</xdr:rowOff>
    </xdr:to>
    <xdr:pic>
      <xdr:nvPicPr>
        <xdr:cNvPr id="2" name="Picture 1" descr="A close up of a logo&#10;&#10;AI-generated content may be incorrect.">
          <a:extLst>
            <a:ext uri="{FF2B5EF4-FFF2-40B4-BE49-F238E27FC236}">
              <a16:creationId xmlns:a16="http://schemas.microsoft.com/office/drawing/2014/main" id="{8B7054B3-5651-4643-BA90-AC9E39252DD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66688" y="2024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1356360</xdr:colOff>
      <xdr:row>2</xdr:row>
      <xdr:rowOff>45243</xdr:rowOff>
    </xdr:to>
    <xdr:pic>
      <xdr:nvPicPr>
        <xdr:cNvPr id="6" name="Picture 5" descr="A close up of a logo&#10;&#10;AI-generated content may be incorrect.">
          <a:extLst>
            <a:ext uri="{FF2B5EF4-FFF2-40B4-BE49-F238E27FC236}">
              <a16:creationId xmlns:a16="http://schemas.microsoft.com/office/drawing/2014/main" id="{784E3CC9-5B96-44B5-ACDE-91109EAD53D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66688" y="2024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49754</xdr:rowOff>
    </xdr:to>
    <xdr:pic>
      <xdr:nvPicPr>
        <xdr:cNvPr id="4" name="Picture 3" descr="A close up of a logo&#10;&#10;AI-generated content may be incorrect.">
          <a:extLst>
            <a:ext uri="{FF2B5EF4-FFF2-40B4-BE49-F238E27FC236}">
              <a16:creationId xmlns:a16="http://schemas.microsoft.com/office/drawing/2014/main" id="{DD93992D-DA9C-4D7D-88A5-47BB3DA0C32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57374</xdr:rowOff>
    </xdr:to>
    <xdr:pic>
      <xdr:nvPicPr>
        <xdr:cNvPr id="4" name="Picture 3" descr="A close up of a logo&#10;&#10;AI-generated content may be incorrect.">
          <a:extLst>
            <a:ext uri="{FF2B5EF4-FFF2-40B4-BE49-F238E27FC236}">
              <a16:creationId xmlns:a16="http://schemas.microsoft.com/office/drawing/2014/main" id="{6853FBB8-175F-44B4-AF40-1E07EB6A87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57374</xdr:rowOff>
    </xdr:to>
    <xdr:pic>
      <xdr:nvPicPr>
        <xdr:cNvPr id="2" name="Picture 1" descr="A close up of a logo&#10;&#10;AI-generated content may be incorrect.">
          <a:extLst>
            <a:ext uri="{FF2B5EF4-FFF2-40B4-BE49-F238E27FC236}">
              <a16:creationId xmlns:a16="http://schemas.microsoft.com/office/drawing/2014/main" id="{97496D6C-931C-4A48-993E-F6E0BA8B374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54768</xdr:rowOff>
    </xdr:to>
    <xdr:pic>
      <xdr:nvPicPr>
        <xdr:cNvPr id="4" name="Picture 3" descr="A close up of a logo&#10;&#10;AI-generated content may be incorrect.">
          <a:extLst>
            <a:ext uri="{FF2B5EF4-FFF2-40B4-BE49-F238E27FC236}">
              <a16:creationId xmlns:a16="http://schemas.microsoft.com/office/drawing/2014/main" id="{567F8DC2-53A9-45C9-891C-C705014111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66688" y="2024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49053</xdr:rowOff>
    </xdr:to>
    <xdr:pic>
      <xdr:nvPicPr>
        <xdr:cNvPr id="2" name="Picture 1" descr="A close up of a logo&#10;&#10;AI-generated content may be incorrect.">
          <a:extLst>
            <a:ext uri="{FF2B5EF4-FFF2-40B4-BE49-F238E27FC236}">
              <a16:creationId xmlns:a16="http://schemas.microsoft.com/office/drawing/2014/main" id="{26E6EB0B-7DF7-44EF-8FAC-9C261054DDC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66688" y="2024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54768</xdr:rowOff>
    </xdr:to>
    <xdr:pic>
      <xdr:nvPicPr>
        <xdr:cNvPr id="2" name="Picture 1" descr="A close up of a logo&#10;&#10;AI-generated content may be incorrect.">
          <a:extLst>
            <a:ext uri="{FF2B5EF4-FFF2-40B4-BE49-F238E27FC236}">
              <a16:creationId xmlns:a16="http://schemas.microsoft.com/office/drawing/2014/main" id="{C7861A4E-DBE9-4CD1-ACE6-4A64391784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66688" y="2024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57374</xdr:rowOff>
    </xdr:to>
    <xdr:pic>
      <xdr:nvPicPr>
        <xdr:cNvPr id="2" name="Picture 1" descr="A close up of a logo&#10;&#10;AI-generated content may be incorrect.">
          <a:extLst>
            <a:ext uri="{FF2B5EF4-FFF2-40B4-BE49-F238E27FC236}">
              <a16:creationId xmlns:a16="http://schemas.microsoft.com/office/drawing/2014/main" id="{C84BEC78-4B14-4C71-A427-84720B66DD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51163</xdr:rowOff>
    </xdr:to>
    <xdr:pic>
      <xdr:nvPicPr>
        <xdr:cNvPr id="2" name="Picture 1" descr="A close up of a logo&#10;&#10;AI-generated content may be incorrect.">
          <a:extLst>
            <a:ext uri="{FF2B5EF4-FFF2-40B4-BE49-F238E27FC236}">
              <a16:creationId xmlns:a16="http://schemas.microsoft.com/office/drawing/2014/main" id="{0C474E0B-8415-48B2-B0CC-F224F51A1E6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63286" y="204107"/>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57374</xdr:rowOff>
    </xdr:to>
    <xdr:pic>
      <xdr:nvPicPr>
        <xdr:cNvPr id="2" name="Picture 1" descr="A close up of a logo&#10;&#10;AI-generated content may be incorrect.">
          <a:extLst>
            <a:ext uri="{FF2B5EF4-FFF2-40B4-BE49-F238E27FC236}">
              <a16:creationId xmlns:a16="http://schemas.microsoft.com/office/drawing/2014/main" id="{C5A0618E-E601-4D6C-97BC-720477B87B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56882" y="201706"/>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1348740</xdr:colOff>
      <xdr:row>2</xdr:row>
      <xdr:rowOff>58783</xdr:rowOff>
    </xdr:to>
    <xdr:pic>
      <xdr:nvPicPr>
        <xdr:cNvPr id="2" name="Picture 1" descr="A close up of a logo&#10;&#10;AI-generated content may be incorrect.">
          <a:extLst>
            <a:ext uri="{FF2B5EF4-FFF2-40B4-BE49-F238E27FC236}">
              <a16:creationId xmlns:a16="http://schemas.microsoft.com/office/drawing/2014/main" id="{F7CF5376-A949-44E4-A2D8-D65DD417BF4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17" r="9615" b="18592"/>
        <a:stretch/>
      </xdr:blipFill>
      <xdr:spPr bwMode="auto">
        <a:xfrm>
          <a:off x="163286" y="204107"/>
          <a:ext cx="1356360" cy="2476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25">
    <pageSetUpPr fitToPage="1"/>
  </sheetPr>
  <dimension ref="B1:F55"/>
  <sheetViews>
    <sheetView showGridLines="0" view="pageBreakPreview" zoomScale="85" zoomScaleNormal="85" zoomScaleSheetLayoutView="85" workbookViewId="0">
      <selection activeCell="D38" sqref="D38"/>
    </sheetView>
  </sheetViews>
  <sheetFormatPr defaultColWidth="9.140625" defaultRowHeight="18" x14ac:dyDescent="0.35"/>
  <cols>
    <col min="1" max="1" width="2.42578125" style="108" customWidth="1"/>
    <col min="2" max="2" width="7.5703125" style="108" customWidth="1"/>
    <col min="3" max="3" width="24.42578125" style="108" customWidth="1"/>
    <col min="4" max="4" width="49.140625" style="108" customWidth="1"/>
    <col min="5" max="5" width="18.42578125" style="99" customWidth="1"/>
    <col min="6" max="6" width="21.42578125" style="108" customWidth="1"/>
    <col min="7" max="7" width="3.7109375" style="108" customWidth="1"/>
    <col min="8" max="16384" width="9.140625" style="108"/>
  </cols>
  <sheetData>
    <row r="1" spans="2:6" ht="12.75" customHeight="1" x14ac:dyDescent="0.35">
      <c r="B1" s="131"/>
      <c r="C1" s="131"/>
    </row>
    <row r="2" spans="2:6" x14ac:dyDescent="0.35">
      <c r="B2" s="131"/>
      <c r="C2" s="131"/>
    </row>
    <row r="3" spans="2:6" x14ac:dyDescent="0.35">
      <c r="B3" s="131"/>
      <c r="C3" s="131"/>
    </row>
    <row r="4" spans="2:6" x14ac:dyDescent="0.35">
      <c r="B4" s="131"/>
      <c r="C4" s="131"/>
    </row>
    <row r="5" spans="2:6" ht="16.5" customHeight="1" x14ac:dyDescent="0.35">
      <c r="B5" s="132"/>
      <c r="D5" s="132"/>
      <c r="E5" s="133"/>
      <c r="F5" s="132"/>
    </row>
    <row r="6" spans="2:6" ht="16.5" customHeight="1" x14ac:dyDescent="0.35">
      <c r="B6" s="132"/>
      <c r="D6" s="132"/>
      <c r="E6" s="133"/>
      <c r="F6" s="132"/>
    </row>
    <row r="7" spans="2:6" x14ac:dyDescent="0.35">
      <c r="B7" s="131"/>
      <c r="C7" s="131"/>
    </row>
    <row r="8" spans="2:6" ht="16.5" customHeight="1" x14ac:dyDescent="0.35">
      <c r="B8" s="131"/>
      <c r="C8" s="131"/>
    </row>
    <row r="9" spans="2:6" x14ac:dyDescent="0.35">
      <c r="B9" s="131"/>
      <c r="C9" s="131"/>
    </row>
    <row r="10" spans="2:6" x14ac:dyDescent="0.35">
      <c r="B10" s="131"/>
      <c r="C10" s="131"/>
    </row>
    <row r="11" spans="2:6" x14ac:dyDescent="0.35">
      <c r="B11" s="134"/>
      <c r="C11" s="134"/>
      <c r="D11" s="97"/>
      <c r="E11" s="98"/>
      <c r="F11" s="97"/>
    </row>
    <row r="12" spans="2:6" x14ac:dyDescent="0.35">
      <c r="B12" s="134"/>
      <c r="C12" s="134"/>
      <c r="D12" s="97"/>
      <c r="E12" s="98"/>
      <c r="F12" s="97"/>
    </row>
    <row r="13" spans="2:6" ht="40.5" customHeight="1" x14ac:dyDescent="0.3">
      <c r="B13" s="1097" t="s">
        <v>662</v>
      </c>
      <c r="C13" s="1097"/>
      <c r="D13" s="1097"/>
      <c r="E13" s="1097"/>
      <c r="F13" s="1097"/>
    </row>
    <row r="14" spans="2:6" x14ac:dyDescent="0.35">
      <c r="B14" s="134"/>
      <c r="C14" s="134"/>
      <c r="D14" s="97"/>
      <c r="E14" s="98"/>
      <c r="F14" s="97"/>
    </row>
    <row r="15" spans="2:6" x14ac:dyDescent="0.35">
      <c r="B15" s="134"/>
      <c r="C15" s="134"/>
      <c r="D15" s="97"/>
      <c r="E15" s="98"/>
      <c r="F15" s="97"/>
    </row>
    <row r="16" spans="2:6" ht="13.5" customHeight="1" x14ac:dyDescent="0.35">
      <c r="B16" s="131"/>
      <c r="C16" s="134"/>
      <c r="D16" s="97"/>
      <c r="E16" s="98"/>
      <c r="F16" s="99"/>
    </row>
    <row r="17" spans="2:6" x14ac:dyDescent="0.35">
      <c r="B17" s="131"/>
      <c r="C17" s="134"/>
      <c r="D17" s="100"/>
      <c r="E17" s="98"/>
      <c r="F17" s="99"/>
    </row>
    <row r="18" spans="2:6" x14ac:dyDescent="0.35">
      <c r="B18" s="131"/>
      <c r="C18" s="134"/>
      <c r="D18" s="101" t="s">
        <v>163</v>
      </c>
      <c r="E18" s="102">
        <v>1</v>
      </c>
      <c r="F18" s="99"/>
    </row>
    <row r="19" spans="2:6" x14ac:dyDescent="0.35">
      <c r="B19" s="131"/>
      <c r="C19" s="134"/>
      <c r="D19" s="100" t="s">
        <v>164</v>
      </c>
      <c r="E19" s="103">
        <v>2</v>
      </c>
      <c r="F19" s="99"/>
    </row>
    <row r="20" spans="2:6" ht="17.25" customHeight="1" x14ac:dyDescent="0.35">
      <c r="B20" s="131"/>
      <c r="C20" s="135"/>
      <c r="D20" s="101" t="s">
        <v>165</v>
      </c>
      <c r="E20" s="103">
        <v>3</v>
      </c>
      <c r="F20" s="99"/>
    </row>
    <row r="21" spans="2:6" ht="17.25" customHeight="1" x14ac:dyDescent="0.35">
      <c r="B21" s="131"/>
      <c r="C21" s="135"/>
      <c r="D21" s="101" t="s">
        <v>166</v>
      </c>
      <c r="E21" s="103">
        <v>4</v>
      </c>
      <c r="F21" s="99"/>
    </row>
    <row r="22" spans="2:6" ht="17.25" customHeight="1" x14ac:dyDescent="0.35">
      <c r="B22" s="131"/>
      <c r="C22" s="135"/>
      <c r="D22" s="101" t="s">
        <v>44</v>
      </c>
      <c r="E22" s="102">
        <v>5</v>
      </c>
      <c r="F22" s="105"/>
    </row>
    <row r="23" spans="2:6" ht="17.25" customHeight="1" x14ac:dyDescent="0.35">
      <c r="B23" s="131"/>
      <c r="C23" s="134"/>
      <c r="D23" s="101" t="s">
        <v>1</v>
      </c>
      <c r="E23" s="102">
        <v>6</v>
      </c>
      <c r="F23" s="105"/>
    </row>
    <row r="24" spans="2:6" ht="17.25" customHeight="1" x14ac:dyDescent="0.35">
      <c r="B24" s="131"/>
      <c r="C24" s="134"/>
      <c r="D24" s="101" t="s">
        <v>606</v>
      </c>
      <c r="E24" s="102">
        <v>7</v>
      </c>
      <c r="F24" s="105"/>
    </row>
    <row r="25" spans="2:6" ht="17.25" customHeight="1" x14ac:dyDescent="0.35">
      <c r="B25" s="131"/>
      <c r="C25" s="134"/>
      <c r="D25" s="100" t="s">
        <v>351</v>
      </c>
      <c r="E25" s="103">
        <v>8</v>
      </c>
      <c r="F25" s="105"/>
    </row>
    <row r="26" spans="2:6" ht="17.25" customHeight="1" x14ac:dyDescent="0.35">
      <c r="B26" s="131"/>
      <c r="C26" s="134"/>
      <c r="D26" s="101" t="s">
        <v>167</v>
      </c>
      <c r="E26" s="102">
        <v>9</v>
      </c>
      <c r="F26" s="105"/>
    </row>
    <row r="27" spans="2:6" ht="17.25" customHeight="1" x14ac:dyDescent="0.35">
      <c r="B27" s="131"/>
      <c r="C27" s="134"/>
      <c r="D27" s="101" t="s">
        <v>643</v>
      </c>
      <c r="E27" s="102">
        <v>10</v>
      </c>
      <c r="F27" s="105"/>
    </row>
    <row r="28" spans="2:6" ht="17.25" customHeight="1" x14ac:dyDescent="0.35">
      <c r="B28" s="131"/>
      <c r="C28" s="134"/>
      <c r="D28" s="101" t="s">
        <v>644</v>
      </c>
      <c r="E28" s="102">
        <v>11</v>
      </c>
      <c r="F28" s="105"/>
    </row>
    <row r="29" spans="2:6" ht="17.25" customHeight="1" x14ac:dyDescent="0.35">
      <c r="B29" s="131"/>
      <c r="C29" s="134"/>
      <c r="D29" s="101" t="s">
        <v>168</v>
      </c>
      <c r="E29" s="102">
        <v>12</v>
      </c>
      <c r="F29" s="105"/>
    </row>
    <row r="30" spans="2:6" ht="17.25" customHeight="1" x14ac:dyDescent="0.35">
      <c r="B30" s="131"/>
      <c r="C30" s="134"/>
      <c r="D30" s="101" t="s">
        <v>169</v>
      </c>
      <c r="E30" s="102">
        <v>13</v>
      </c>
      <c r="F30" s="105"/>
    </row>
    <row r="31" spans="2:6" ht="17.25" customHeight="1" x14ac:dyDescent="0.35">
      <c r="B31" s="131"/>
      <c r="C31" s="134"/>
      <c r="D31" s="101" t="s">
        <v>170</v>
      </c>
      <c r="E31" s="102">
        <v>14</v>
      </c>
      <c r="F31" s="105"/>
    </row>
    <row r="32" spans="2:6" ht="17.25" customHeight="1" x14ac:dyDescent="0.35">
      <c r="B32" s="131"/>
      <c r="C32" s="134"/>
      <c r="D32" s="101" t="s">
        <v>171</v>
      </c>
      <c r="E32" s="102">
        <v>15</v>
      </c>
      <c r="F32" s="105"/>
    </row>
    <row r="33" spans="2:6" ht="17.25" customHeight="1" x14ac:dyDescent="0.35">
      <c r="B33" s="131"/>
      <c r="C33" s="134"/>
      <c r="D33" s="101" t="s">
        <v>172</v>
      </c>
      <c r="E33" s="102">
        <v>16</v>
      </c>
      <c r="F33" s="105"/>
    </row>
    <row r="34" spans="2:6" ht="17.25" customHeight="1" x14ac:dyDescent="0.35">
      <c r="B34" s="131"/>
      <c r="C34" s="134"/>
      <c r="D34" s="101" t="s">
        <v>565</v>
      </c>
      <c r="E34" s="102">
        <v>17</v>
      </c>
      <c r="F34" s="105"/>
    </row>
    <row r="35" spans="2:6" ht="17.25" customHeight="1" x14ac:dyDescent="0.35">
      <c r="B35" s="131"/>
      <c r="C35" s="134"/>
      <c r="D35" s="101" t="s">
        <v>205</v>
      </c>
      <c r="E35" s="102">
        <v>18</v>
      </c>
      <c r="F35" s="102"/>
    </row>
    <row r="36" spans="2:6" ht="17.25" customHeight="1" x14ac:dyDescent="0.35">
      <c r="B36" s="131"/>
      <c r="C36" s="134"/>
      <c r="D36" s="101" t="s">
        <v>410</v>
      </c>
      <c r="E36" s="102">
        <v>19</v>
      </c>
      <c r="F36" s="102"/>
    </row>
    <row r="37" spans="2:6" ht="17.25" customHeight="1" x14ac:dyDescent="0.35">
      <c r="B37" s="131"/>
      <c r="C37" s="134"/>
      <c r="D37" s="101" t="s">
        <v>476</v>
      </c>
      <c r="E37" s="102">
        <v>20</v>
      </c>
      <c r="F37" s="102"/>
    </row>
    <row r="38" spans="2:6" ht="17.25" customHeight="1" x14ac:dyDescent="0.35">
      <c r="B38" s="131"/>
      <c r="C38" s="134"/>
      <c r="D38" s="101" t="s">
        <v>475</v>
      </c>
      <c r="E38" s="102">
        <v>21</v>
      </c>
      <c r="F38" s="102"/>
    </row>
    <row r="39" spans="2:6" ht="17.25" customHeight="1" x14ac:dyDescent="0.35">
      <c r="B39" s="131"/>
      <c r="C39" s="134"/>
      <c r="D39" s="101" t="s">
        <v>173</v>
      </c>
      <c r="E39" s="102">
        <v>22</v>
      </c>
      <c r="F39" s="105"/>
    </row>
    <row r="40" spans="2:6" ht="17.25" customHeight="1" x14ac:dyDescent="0.35">
      <c r="B40" s="131"/>
      <c r="C40" s="131"/>
      <c r="D40" s="106" t="s">
        <v>50</v>
      </c>
      <c r="E40" s="107"/>
      <c r="F40" s="99"/>
    </row>
    <row r="41" spans="2:6" ht="17.25" customHeight="1" x14ac:dyDescent="0.35">
      <c r="B41" s="131"/>
      <c r="C41" s="131"/>
      <c r="D41" s="104" t="s">
        <v>51</v>
      </c>
      <c r="F41" s="99"/>
    </row>
    <row r="42" spans="2:6" ht="17.25" customHeight="1" x14ac:dyDescent="0.35">
      <c r="B42" s="131"/>
      <c r="C42" s="131"/>
      <c r="D42" s="104" t="s">
        <v>16</v>
      </c>
      <c r="F42" s="99"/>
    </row>
    <row r="43" spans="2:6" ht="17.25" customHeight="1" x14ac:dyDescent="0.35">
      <c r="B43" s="131"/>
      <c r="C43" s="131"/>
      <c r="D43" s="104" t="s">
        <v>78</v>
      </c>
      <c r="F43" s="99"/>
    </row>
    <row r="44" spans="2:6" ht="17.25" customHeight="1" x14ac:dyDescent="0.35">
      <c r="B44" s="131"/>
      <c r="C44" s="131"/>
      <c r="D44" s="104" t="s">
        <v>17</v>
      </c>
    </row>
    <row r="45" spans="2:6" x14ac:dyDescent="0.35">
      <c r="B45" s="131"/>
      <c r="C45" s="131"/>
      <c r="D45" s="104"/>
      <c r="E45" s="109"/>
    </row>
    <row r="46" spans="2:6" x14ac:dyDescent="0.35">
      <c r="B46" s="131"/>
      <c r="C46" s="131"/>
    </row>
    <row r="47" spans="2:6" x14ac:dyDescent="0.35">
      <c r="B47" s="131"/>
      <c r="C47" s="131"/>
    </row>
    <row r="48" spans="2:6" ht="15.75" customHeight="1" x14ac:dyDescent="0.3">
      <c r="B48" s="1096"/>
      <c r="C48" s="1096"/>
      <c r="D48" s="1096"/>
      <c r="E48" s="1096"/>
      <c r="F48" s="1096"/>
    </row>
    <row r="49" spans="2:6" ht="15.75" customHeight="1" x14ac:dyDescent="0.3">
      <c r="B49" s="1096"/>
      <c r="C49" s="1096"/>
      <c r="D49" s="1096"/>
      <c r="E49" s="1096"/>
      <c r="F49" s="1096"/>
    </row>
    <row r="50" spans="2:6" ht="12.75" customHeight="1" x14ac:dyDescent="0.35"/>
    <row r="51" spans="2:6" ht="15" x14ac:dyDescent="0.3">
      <c r="B51" s="1095"/>
      <c r="C51" s="1095"/>
      <c r="D51" s="1095"/>
      <c r="E51" s="1095"/>
      <c r="F51" s="1095"/>
    </row>
    <row r="52" spans="2:6" x14ac:dyDescent="0.35">
      <c r="B52" s="136"/>
      <c r="C52" s="132"/>
      <c r="D52" s="132"/>
      <c r="E52" s="133"/>
      <c r="F52" s="132"/>
    </row>
    <row r="53" spans="2:6" x14ac:dyDescent="0.35">
      <c r="B53" s="136"/>
      <c r="C53" s="132"/>
      <c r="D53" s="132"/>
      <c r="E53" s="133"/>
      <c r="F53" s="132"/>
    </row>
    <row r="54" spans="2:6" x14ac:dyDescent="0.35">
      <c r="B54" s="136"/>
      <c r="C54" s="132"/>
      <c r="D54" s="132"/>
      <c r="E54" s="133"/>
      <c r="F54" s="132"/>
    </row>
    <row r="55" spans="2:6" x14ac:dyDescent="0.35">
      <c r="B55" s="137"/>
    </row>
  </sheetData>
  <mergeCells count="3">
    <mergeCell ref="B51:F51"/>
    <mergeCell ref="B48:F49"/>
    <mergeCell ref="B13:F13"/>
  </mergeCells>
  <phoneticPr fontId="24" type="noConversion"/>
  <hyperlinks>
    <hyperlink ref="D20:E20" location="BS!A1" display="Balance Sheet" xr:uid="{00000000-0004-0000-0000-000000000000}"/>
    <hyperlink ref="D21:E21" location="'Selected BS Analysis'!A1" display="Analysis of Selected Balance Sheet Items" xr:uid="{00000000-0004-0000-0000-000001000000}"/>
    <hyperlink ref="D30:E30" location="'Asset Quality'!A1" display="Asset Quality" xr:uid="{00000000-0004-0000-0000-000003000000}"/>
    <hyperlink ref="E22" location="PL!A1" display="PL!A1" xr:uid="{00000000-0004-0000-0000-000005000000}"/>
    <hyperlink ref="E30" location="'Loan Portfolio Quality'!A1" display="'Loan Portfolio Quality'!A1" xr:uid="{00000000-0004-0000-0000-000006000000}"/>
    <hyperlink ref="D33" location="'Capital Adequacy'!A1" display="Capital Adequacy" xr:uid="{00000000-0004-0000-0000-000007000000}"/>
    <hyperlink ref="D21" location="' Analysis of selected BS items'!A1" display="Analysis of Selected Balance Sheet Items" xr:uid="{00000000-0004-0000-0000-000008000000}"/>
    <hyperlink ref="E21" location="' Analysis of selected BS items'!A1" display="' Analysis of selected BS items'!A1" xr:uid="{00000000-0004-0000-0000-000009000000}"/>
    <hyperlink ref="D30" location="'Loan Portfolio Quality'!A1" display="Loan Portfolio Quality" xr:uid="{00000000-0004-0000-0000-00000C000000}"/>
    <hyperlink ref="D39" location="'Other Information'!A1" display="Other Information" xr:uid="{00000000-0004-0000-0000-00000D000000}"/>
    <hyperlink ref="D32" location="'NPE flow decomposition'!A1" display="NPE flow decomposition" xr:uid="{00000000-0004-0000-0000-00000E000000}"/>
    <hyperlink ref="E33" location="'Capital Adequacy'!A1" display="7" xr:uid="{00000000-0004-0000-0000-00000F000000}"/>
    <hyperlink ref="E39" location="'Other Information'!Print_Titles" display="8" xr:uid="{00000000-0004-0000-0000-000010000000}"/>
    <hyperlink ref="E32" location="'NPE flow decomposition'!A1" display="'NPE flow decomposition'!A1" xr:uid="{00000000-0004-0000-0000-000011000000}"/>
    <hyperlink ref="D18" location="'Financial Highlights'!Print_Area" display="Financila Highlights" xr:uid="{1AFAA5DE-8391-43CF-8E04-8351F280D267}"/>
    <hyperlink ref="E18" location="'Financial Highlights'!Print_Area" display="'Financial Highlights'!Print_Area" xr:uid="{CC69901D-CFBF-4678-BD27-008486F3DD74}"/>
    <hyperlink ref="D24" location="NFI!A1" display="Net Fee Income" xr:uid="{770F8F97-7C66-4B42-960D-15AF8A7B616D}"/>
    <hyperlink ref="D25" location="OPEX!Print_Area" display="Operating costs analysis" xr:uid="{7F774F03-A0C9-4D94-863E-13BF7CF0E945}"/>
    <hyperlink ref="D26" location="'PL Segment view'!A1" display="P&amp;L Segment view" xr:uid="{D646D995-DD71-40C2-A90B-BED25E951EBF}"/>
    <hyperlink ref="D29" location="'Performing Loans'!A1" display="Performing Loans" xr:uid="{80E650C9-F9A2-4DBA-AB2E-819BA478DBD9}"/>
    <hyperlink ref="D31" location="'IFRS9 Stages'!A1" display="IFRS9 Stages" xr:uid="{0B3C8A63-9312-4653-9915-4A5E638B3B73}"/>
    <hyperlink ref="E24" location="NFI!A1" display="NFI!A1" xr:uid="{F27659A3-1B57-4F39-8D19-436D2F035CB1}"/>
    <hyperlink ref="E25" location="OPEX!Print_Area" display="OPEX!Print_Area" xr:uid="{C9311BD2-7799-4F92-A442-8A78450B8566}"/>
    <hyperlink ref="E26" location="'PL Segment view'!A1" display="'PL Segment view'!A1" xr:uid="{A27963EB-44EB-40A2-B77B-5FCE8C3ED4BB}"/>
    <hyperlink ref="E29" location="'Performing Loans'!A1" display="'Performing Loans'!A1" xr:uid="{94464FE2-72AE-4ABB-8C0E-791B379E5851}"/>
    <hyperlink ref="E31" location="'IFRS9 Stages'!A1" display="'IFRS9 Stages'!A1" xr:uid="{359191A3-D8E8-45C7-B75A-B9CF8B76FD3C}"/>
    <hyperlink ref="D22" location="PL!A1" display="Consolidated P&amp;L" xr:uid="{00000000-0004-0000-0000-000004000000}"/>
    <hyperlink ref="D23" location="NII!A1" display="Net Interest Income" xr:uid="{053C4210-58B0-43FC-9C69-7302CBA23D42}"/>
    <hyperlink ref="E23" location="NII!A1" display="NII!A1" xr:uid="{EE2AEE4D-1B52-484A-8401-84A564DBF856}"/>
    <hyperlink ref="D20" location="'Balance Sheet'!A1" display="Consolidated Balance Sheet" xr:uid="{ACF746F8-36F0-4DAB-BA74-C250A9146D45}"/>
    <hyperlink ref="D19" location="'EPS calculations'!Print_Area" display="EPS calculations" xr:uid="{779E2F1E-060B-48D1-BB28-284FE4AB7F1E}"/>
    <hyperlink ref="E19" location="'EPS calculations'!Print_Area" display="'EPS calculations'!Print_Area" xr:uid="{E565207B-0843-4FEC-9ED9-F45267C3298A}"/>
    <hyperlink ref="E20" location="'Balance Sheet'!Print_Area" display="'Balance Sheet'!Print_Area" xr:uid="{F4D6C0F9-80BF-4CA4-A4B5-F22FBBA51A83}"/>
    <hyperlink ref="D35" location="'Debt securities'!Print_Area" display="Debt securities" xr:uid="{18A4D239-25C4-4266-90B2-F17EA50B1269}"/>
    <hyperlink ref="E35" location="'Debt securities'!Print_Area" display="'Debt securities'!Print_Area" xr:uid="{65C79287-2279-4464-BC76-265CB71E69C1}"/>
    <hyperlink ref="E36" location="'Synthetic securitizations'!Print_Area" display="'Synthetic securitizations'!Print_Area" xr:uid="{5E03A2EE-3028-458B-ABD9-98756C964C4E}"/>
    <hyperlink ref="D36" location="'Synthetic securitizations'!Print_Area" display="Synthetic securitizations of performing loans" xr:uid="{440535DA-937E-425D-9C8D-23602B8F847A}"/>
    <hyperlink ref="D37" location="'Dividends &amp; share buy back'!Print_Area" display="Dividends and share buy back" xr:uid="{869A105A-F192-4067-A727-655E1FCAC724}"/>
    <hyperlink ref="D38" location="'Customers'' data'!Print_Area" display="Customers' data" xr:uid="{A20A9D30-01ED-45DF-9382-40F3E7CCDD4B}"/>
    <hyperlink ref="E37" location="'Dividends &amp; share buy back'!Print_Area" display="'Dividends &amp; share buy back'!Print_Area" xr:uid="{DB87B947-C9C1-4E00-8C1F-DF7D53CA6AEB}"/>
    <hyperlink ref="E38" location="'Customers'' data'!Print_Area" display="'Customers'' data'!Print_Area" xr:uid="{15BE9861-4F7A-48B4-BBA9-44579F083B26}"/>
    <hyperlink ref="D34" location="'Ethniki Insurance'!A1" display="Ethniki Insurance selected items" xr:uid="{6B9B9859-899C-4A90-BAFF-B1B9DA7CA7F2}"/>
    <hyperlink ref="E34" location="'Ethniki Insurance'!A1" display="'Ethniki Insurance'!A1" xr:uid="{3F413EF5-C262-4761-87BF-193F840E8985}"/>
    <hyperlink ref="D27" location="'PL Snappi'!A1" display="PL Snappi" xr:uid="{78306F4C-C9C3-45C7-8248-5C9CF1393BE5}"/>
    <hyperlink ref="D28" location="'Net credit expansion'!A1" display="Net credit expansion" xr:uid="{91591D30-57F3-42B8-BDDF-AA078BEEA4EA}"/>
    <hyperlink ref="E27" location="'PL Snappi'!A1" display="'PL Snappi'!A1" xr:uid="{77A6F7C6-1698-4BB9-8744-E80423F2DA63}"/>
    <hyperlink ref="E28" location="'Net credit expansion'!A1" display="'Net credit expansion'!A1" xr:uid="{BAA9CA24-30AB-402C-B1FA-B8A2A190277D}"/>
  </hyperlinks>
  <printOptions horizontalCentered="1" verticalCentered="1"/>
  <pageMargins left="0" right="0" top="0" bottom="0" header="0" footer="0"/>
  <pageSetup paperSize="9" scale="79" orientation="portrait" r:id="rId1"/>
  <headerFooter alignWithMargins="0"/>
  <rowBreaks count="1" manualBreakCount="1">
    <brk id="54" min="2" max="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1984-0643-4544-BD6E-B0FFA0B017B2}">
  <sheetPr codeName="Sheet9">
    <pageSetUpPr fitToPage="1"/>
  </sheetPr>
  <dimension ref="A1:R31"/>
  <sheetViews>
    <sheetView showGridLines="0" view="pageBreakPreview" zoomScale="90" zoomScaleNormal="90" zoomScaleSheetLayoutView="90" workbookViewId="0">
      <pane xSplit="2" ySplit="8" topLeftCell="C10" activePane="bottomRight" state="frozen"/>
      <selection activeCell="M28" sqref="M28"/>
      <selection pane="topRight" activeCell="M28" sqref="M28"/>
      <selection pane="bottomLeft" activeCell="M28" sqref="M28"/>
      <selection pane="bottomRight" activeCell="B5" sqref="B5:L5"/>
    </sheetView>
  </sheetViews>
  <sheetFormatPr defaultColWidth="9.140625" defaultRowHeight="15.75" x14ac:dyDescent="0.2"/>
  <cols>
    <col min="1" max="1" width="2.42578125" style="6" customWidth="1"/>
    <col min="2" max="2" width="68.7109375" style="6" customWidth="1"/>
    <col min="3" max="9" width="19.28515625" style="6" customWidth="1"/>
    <col min="10" max="10" width="2.85546875" style="6" customWidth="1"/>
    <col min="11" max="11" width="19.28515625" style="6" customWidth="1"/>
    <col min="12" max="12" width="2.28515625" style="6" customWidth="1"/>
    <col min="13" max="13" width="19.28515625" style="6" customWidth="1"/>
    <col min="14" max="14" width="3" style="6" customWidth="1"/>
    <col min="15" max="15" width="11" style="6" customWidth="1"/>
    <col min="16" max="16" width="21.28515625" style="6" customWidth="1"/>
    <col min="17" max="17" width="12" style="6" customWidth="1"/>
    <col min="18" max="18" width="5.28515625" style="6" customWidth="1"/>
    <col min="19" max="16384" width="9.140625" style="6"/>
  </cols>
  <sheetData>
    <row r="1" spans="1:18" ht="15.75" customHeight="1" x14ac:dyDescent="0.2">
      <c r="B1" s="110"/>
      <c r="C1" s="110"/>
      <c r="D1" s="110"/>
      <c r="E1" s="110"/>
      <c r="F1" s="110"/>
      <c r="G1" s="110"/>
      <c r="H1" s="110"/>
      <c r="I1" s="110"/>
      <c r="J1" s="110"/>
      <c r="K1" s="110"/>
      <c r="L1" s="110"/>
      <c r="M1" s="110"/>
    </row>
    <row r="2" spans="1:18" ht="15.75" customHeight="1" x14ac:dyDescent="0.2">
      <c r="B2" s="110"/>
      <c r="C2" s="113"/>
      <c r="D2" s="113"/>
      <c r="E2" s="113"/>
      <c r="F2" s="113"/>
      <c r="G2" s="113"/>
      <c r="H2" s="113"/>
      <c r="I2" s="110"/>
      <c r="J2" s="110"/>
      <c r="K2" s="110"/>
      <c r="L2" s="110"/>
      <c r="M2" s="112" t="s">
        <v>18</v>
      </c>
    </row>
    <row r="3" spans="1:18" ht="15.75" customHeight="1" x14ac:dyDescent="0.2">
      <c r="B3" s="110"/>
      <c r="C3" s="110"/>
      <c r="D3" s="110"/>
      <c r="E3" s="110"/>
      <c r="F3" s="110"/>
      <c r="G3" s="110"/>
      <c r="H3" s="110"/>
      <c r="I3" s="110"/>
      <c r="J3" s="110"/>
      <c r="K3" s="110"/>
      <c r="L3" s="110"/>
      <c r="M3" s="110"/>
    </row>
    <row r="4" spans="1:18" ht="15.75" customHeight="1" x14ac:dyDescent="0.2">
      <c r="B4" s="110"/>
      <c r="C4" s="110"/>
      <c r="D4" s="110"/>
      <c r="E4" s="110"/>
      <c r="F4" s="110"/>
      <c r="G4" s="110"/>
      <c r="H4" s="110"/>
      <c r="I4" s="110"/>
      <c r="J4" s="110"/>
      <c r="K4" s="110"/>
      <c r="L4" s="110"/>
      <c r="M4" s="110"/>
    </row>
    <row r="5" spans="1:18" s="17" customFormat="1" ht="28.5" x14ac:dyDescent="0.2">
      <c r="A5" s="16"/>
      <c r="B5" s="1091" t="s">
        <v>666</v>
      </c>
      <c r="C5" s="1102"/>
      <c r="D5" s="1102"/>
      <c r="E5" s="1102"/>
      <c r="F5" s="1102"/>
      <c r="G5" s="1102"/>
      <c r="H5" s="1102"/>
      <c r="I5" s="1102"/>
      <c r="J5" s="1102"/>
      <c r="K5" s="1102"/>
      <c r="L5" s="1102"/>
      <c r="M5" s="1040"/>
      <c r="N5" s="12"/>
      <c r="O5" s="12"/>
    </row>
    <row r="6" spans="1:18" s="17" customFormat="1" ht="9" customHeight="1" x14ac:dyDescent="0.2">
      <c r="A6" s="16"/>
      <c r="B6" s="117"/>
      <c r="C6" s="116"/>
      <c r="D6" s="116"/>
      <c r="E6" s="116"/>
      <c r="F6" s="116"/>
      <c r="G6" s="116"/>
      <c r="H6" s="116"/>
      <c r="I6" s="116"/>
      <c r="J6" s="116"/>
      <c r="K6" s="116"/>
      <c r="L6" s="116"/>
      <c r="M6" s="116"/>
    </row>
    <row r="7" spans="1:18" ht="3" customHeight="1" x14ac:dyDescent="0.2">
      <c r="B7" s="110"/>
      <c r="C7" s="110"/>
      <c r="D7" s="110"/>
      <c r="E7" s="110"/>
      <c r="F7" s="110"/>
      <c r="G7" s="110"/>
      <c r="H7" s="110"/>
      <c r="I7" s="110"/>
      <c r="J7" s="110"/>
      <c r="K7" s="110"/>
      <c r="L7" s="110"/>
      <c r="M7" s="110"/>
    </row>
    <row r="8" spans="1:18" s="7" customFormat="1" ht="40.5" customHeight="1" x14ac:dyDescent="0.2">
      <c r="B8" s="325" t="s">
        <v>0</v>
      </c>
      <c r="C8" s="326" t="s">
        <v>87</v>
      </c>
      <c r="D8" s="326" t="s">
        <v>115</v>
      </c>
      <c r="E8" s="326" t="s">
        <v>116</v>
      </c>
      <c r="F8" s="326" t="s">
        <v>510</v>
      </c>
      <c r="G8" s="326" t="s">
        <v>553</v>
      </c>
      <c r="H8" s="327" t="s">
        <v>39</v>
      </c>
      <c r="I8" s="328" t="s">
        <v>88</v>
      </c>
      <c r="J8" s="439"/>
      <c r="K8" s="447" t="s">
        <v>114</v>
      </c>
      <c r="L8" s="439"/>
      <c r="M8" s="447" t="s">
        <v>89</v>
      </c>
    </row>
    <row r="9" spans="1:18" s="9" customFormat="1" ht="24.75" customHeight="1" x14ac:dyDescent="0.2">
      <c r="B9" s="317" t="s">
        <v>1</v>
      </c>
      <c r="C9" s="211">
        <v>515.62438837000002</v>
      </c>
      <c r="D9" s="211">
        <v>335.22411477999992</v>
      </c>
      <c r="E9" s="211">
        <v>175.78716084999999</v>
      </c>
      <c r="F9" s="211">
        <v>0.16378623</v>
      </c>
      <c r="G9" s="211">
        <v>0.42573866999999993</v>
      </c>
      <c r="H9" s="306">
        <v>-4.3049458399999194</v>
      </c>
      <c r="I9" s="293">
        <f t="shared" ref="I9:I18" si="0">SUM(C9:H9)</f>
        <v>1022.92024306</v>
      </c>
      <c r="J9" s="246"/>
      <c r="K9" s="448">
        <v>-32.939907480000002</v>
      </c>
      <c r="L9" s="457"/>
      <c r="M9" s="622">
        <f t="shared" ref="M9:M18" si="1">I9+K9</f>
        <v>989.98033557999997</v>
      </c>
    </row>
    <row r="10" spans="1:18" s="9" customFormat="1" ht="24.75" customHeight="1" x14ac:dyDescent="0.2">
      <c r="B10" s="317" t="s">
        <v>113</v>
      </c>
      <c r="C10" s="211">
        <v>160.96232673</v>
      </c>
      <c r="D10" s="440">
        <v>151.85663414999999</v>
      </c>
      <c r="E10" s="440">
        <v>11.007637769999999</v>
      </c>
      <c r="F10" s="440">
        <v>-0.69517522999999992</v>
      </c>
      <c r="G10" s="440">
        <v>0.96056161999999989</v>
      </c>
      <c r="H10" s="472">
        <v>19.230506409999993</v>
      </c>
      <c r="I10" s="293">
        <f t="shared" si="0"/>
        <v>343.32249144999992</v>
      </c>
      <c r="J10" s="441"/>
      <c r="K10" s="449">
        <v>2.0554158</v>
      </c>
      <c r="L10" s="458"/>
      <c r="M10" s="622">
        <f t="shared" si="1"/>
        <v>345.37790724999991</v>
      </c>
    </row>
    <row r="11" spans="1:18" s="9" customFormat="1" ht="24.75" customHeight="1" x14ac:dyDescent="0.2">
      <c r="B11" s="317" t="s">
        <v>558</v>
      </c>
      <c r="C11" s="440">
        <v>0.90700000000000003</v>
      </c>
      <c r="D11" s="440">
        <v>0</v>
      </c>
      <c r="E11" s="440">
        <v>0</v>
      </c>
      <c r="F11" s="440">
        <v>0</v>
      </c>
      <c r="G11" s="440">
        <v>64.165956309999999</v>
      </c>
      <c r="H11" s="472">
        <v>47.950146179999997</v>
      </c>
      <c r="I11" s="293">
        <f t="shared" si="0"/>
        <v>113.02310248999999</v>
      </c>
      <c r="J11" s="441"/>
      <c r="K11" s="449">
        <v>2.5058378399999999</v>
      </c>
      <c r="L11" s="458"/>
      <c r="M11" s="622">
        <f t="shared" si="1"/>
        <v>115.52894032999998</v>
      </c>
      <c r="N11" s="40"/>
      <c r="O11" s="851"/>
      <c r="P11" s="851"/>
      <c r="Q11" s="851"/>
      <c r="R11" s="851"/>
    </row>
    <row r="12" spans="1:18" s="9" customFormat="1" ht="24.75" customHeight="1" x14ac:dyDescent="0.2">
      <c r="B12" s="317" t="s">
        <v>240</v>
      </c>
      <c r="C12" s="385">
        <v>-13.869919309999997</v>
      </c>
      <c r="D12" s="385">
        <v>-6.16479219</v>
      </c>
      <c r="E12" s="385">
        <v>30.446469570000005</v>
      </c>
      <c r="F12" s="385">
        <v>0</v>
      </c>
      <c r="G12" s="385">
        <v>0.13236898999999999</v>
      </c>
      <c r="H12" s="393">
        <v>-2.7413951900000026</v>
      </c>
      <c r="I12" s="293">
        <f t="shared" si="0"/>
        <v>7.8027318700000059</v>
      </c>
      <c r="J12" s="441"/>
      <c r="K12" s="450">
        <v>-10.27386984</v>
      </c>
      <c r="L12" s="458"/>
      <c r="M12" s="622">
        <f t="shared" si="1"/>
        <v>-2.4711379699999938</v>
      </c>
      <c r="N12" s="40"/>
      <c r="O12" s="852"/>
      <c r="P12" s="851"/>
      <c r="Q12" s="851"/>
      <c r="R12" s="851"/>
    </row>
    <row r="13" spans="1:18" s="9" customFormat="1" ht="24.75" customHeight="1" x14ac:dyDescent="0.2">
      <c r="B13" s="466" t="s">
        <v>157</v>
      </c>
      <c r="C13" s="470">
        <f t="shared" ref="C13:H13" si="2">SUM(C9:C12)</f>
        <v>663.62379579000003</v>
      </c>
      <c r="D13" s="470">
        <f t="shared" si="2"/>
        <v>480.9159567399999</v>
      </c>
      <c r="E13" s="470">
        <f t="shared" si="2"/>
        <v>217.24126819</v>
      </c>
      <c r="F13" s="470">
        <f t="shared" si="2"/>
        <v>-0.53138899999999989</v>
      </c>
      <c r="G13" s="470">
        <f t="shared" si="2"/>
        <v>65.684625589999996</v>
      </c>
      <c r="H13" s="473">
        <f t="shared" si="2"/>
        <v>60.134311560000064</v>
      </c>
      <c r="I13" s="471">
        <f t="shared" si="0"/>
        <v>1487.06856887</v>
      </c>
      <c r="J13" s="441"/>
      <c r="K13" s="451">
        <f>SUM(K9:K12)</f>
        <v>-38.652523680000002</v>
      </c>
      <c r="L13" s="458"/>
      <c r="M13" s="623">
        <f t="shared" si="1"/>
        <v>1448.41604519</v>
      </c>
      <c r="N13" s="40"/>
      <c r="O13" s="853"/>
      <c r="P13" s="851"/>
      <c r="Q13" s="851"/>
      <c r="R13" s="851"/>
    </row>
    <row r="14" spans="1:18" s="9" customFormat="1" ht="24.75" customHeight="1" x14ac:dyDescent="0.2">
      <c r="B14" s="317" t="s">
        <v>192</v>
      </c>
      <c r="C14" s="462">
        <v>-242.04000865</v>
      </c>
      <c r="D14" s="462">
        <v>-94.380981629999994</v>
      </c>
      <c r="E14" s="462">
        <v>-24.58018036</v>
      </c>
      <c r="F14" s="462">
        <v>-14.828496830000001</v>
      </c>
      <c r="G14" s="462">
        <v>-22.091194099999999</v>
      </c>
      <c r="H14" s="474">
        <v>-76.343431430000024</v>
      </c>
      <c r="I14" s="388">
        <f t="shared" si="0"/>
        <v>-474.26429300000001</v>
      </c>
      <c r="J14" s="441"/>
      <c r="K14" s="450">
        <v>-16.099915039999999</v>
      </c>
      <c r="L14" s="458"/>
      <c r="M14" s="622">
        <f t="shared" si="1"/>
        <v>-490.36420803999999</v>
      </c>
      <c r="N14" s="40"/>
      <c r="O14" s="854"/>
      <c r="P14" s="851"/>
      <c r="Q14" s="851"/>
      <c r="R14" s="851"/>
    </row>
    <row r="15" spans="1:18" s="9" customFormat="1" ht="24.75" customHeight="1" x14ac:dyDescent="0.2">
      <c r="B15" s="469" t="s">
        <v>216</v>
      </c>
      <c r="C15" s="468">
        <f t="shared" ref="C15:H15" si="3">C13+C14</f>
        <v>421.58378714000003</v>
      </c>
      <c r="D15" s="468">
        <f t="shared" si="3"/>
        <v>386.53497510999989</v>
      </c>
      <c r="E15" s="468">
        <f t="shared" si="3"/>
        <v>192.66108782999999</v>
      </c>
      <c r="F15" s="468">
        <f t="shared" si="3"/>
        <v>-15.35988583</v>
      </c>
      <c r="G15" s="468">
        <f t="shared" si="3"/>
        <v>43.59343149</v>
      </c>
      <c r="H15" s="475">
        <f t="shared" si="3"/>
        <v>-16.209119869999959</v>
      </c>
      <c r="I15" s="471">
        <f t="shared" si="0"/>
        <v>1012.8042758699999</v>
      </c>
      <c r="J15" s="442"/>
      <c r="K15" s="451">
        <f>K13+K14</f>
        <v>-54.752438720000001</v>
      </c>
      <c r="L15" s="458"/>
      <c r="M15" s="623">
        <f t="shared" si="1"/>
        <v>958.05183714999987</v>
      </c>
      <c r="N15" s="40"/>
      <c r="O15" s="853"/>
      <c r="P15" s="851"/>
      <c r="Q15" s="851"/>
      <c r="R15" s="851"/>
    </row>
    <row r="16" spans="1:18" s="9" customFormat="1" ht="24.75" customHeight="1" x14ac:dyDescent="0.2">
      <c r="B16" s="317" t="s">
        <v>651</v>
      </c>
      <c r="C16" s="462">
        <v>-22.385176489999999</v>
      </c>
      <c r="D16" s="462">
        <v>-62.886822880000011</v>
      </c>
      <c r="E16" s="462">
        <v>-5.9342199999999996E-3</v>
      </c>
      <c r="F16" s="462">
        <v>-0.92257204000000004</v>
      </c>
      <c r="G16" s="462">
        <v>1.5819999999999997E-4</v>
      </c>
      <c r="H16" s="474">
        <v>0.57753420999999994</v>
      </c>
      <c r="I16" s="388">
        <f t="shared" si="0"/>
        <v>-85.622813220000012</v>
      </c>
      <c r="J16" s="441"/>
      <c r="K16" s="450">
        <v>-15.351263930000005</v>
      </c>
      <c r="L16" s="458"/>
      <c r="M16" s="624">
        <f>I16+K16</f>
        <v>-100.97407715000001</v>
      </c>
      <c r="N16" s="40"/>
      <c r="O16" s="855"/>
      <c r="P16" s="851"/>
      <c r="Q16" s="851"/>
      <c r="R16" s="851"/>
    </row>
    <row r="17" spans="2:18" s="9" customFormat="1" ht="24.75" customHeight="1" x14ac:dyDescent="0.2">
      <c r="B17" s="317" t="s">
        <v>217</v>
      </c>
      <c r="C17" s="462">
        <v>2.4818237899999991</v>
      </c>
      <c r="D17" s="462">
        <v>-4.4466900000004195E-3</v>
      </c>
      <c r="E17" s="462">
        <v>-1.4560498799999997</v>
      </c>
      <c r="F17" s="462">
        <v>0</v>
      </c>
      <c r="G17" s="462">
        <v>-0.11853430999999999</v>
      </c>
      <c r="H17" s="474">
        <v>-5.9824060200000035</v>
      </c>
      <c r="I17" s="388">
        <f t="shared" si="0"/>
        <v>-5.0796131100000048</v>
      </c>
      <c r="J17" s="441"/>
      <c r="K17" s="450">
        <v>0.15159999000000024</v>
      </c>
      <c r="L17" s="458"/>
      <c r="M17" s="624">
        <f>I17+K17</f>
        <v>-4.9280131200000046</v>
      </c>
      <c r="N17" s="40"/>
      <c r="O17" s="851"/>
      <c r="P17" s="853"/>
      <c r="Q17" s="851"/>
      <c r="R17" s="851"/>
    </row>
    <row r="18" spans="2:18" s="9" customFormat="1" ht="24.75" customHeight="1" x14ac:dyDescent="0.2">
      <c r="B18" s="317" t="s">
        <v>218</v>
      </c>
      <c r="C18" s="385">
        <v>-0.10200158000000001</v>
      </c>
      <c r="D18" s="385">
        <v>-0.26644115000000007</v>
      </c>
      <c r="E18" s="385">
        <v>0</v>
      </c>
      <c r="F18" s="385">
        <v>0</v>
      </c>
      <c r="G18" s="385">
        <v>0</v>
      </c>
      <c r="H18" s="393">
        <v>-0.24158222000000001</v>
      </c>
      <c r="I18" s="388">
        <f t="shared" si="0"/>
        <v>-0.61002495000000012</v>
      </c>
      <c r="J18" s="441"/>
      <c r="K18" s="450">
        <v>-12.87076397</v>
      </c>
      <c r="L18" s="458"/>
      <c r="M18" s="624">
        <f t="shared" si="1"/>
        <v>-13.48078892</v>
      </c>
      <c r="N18" s="40"/>
      <c r="O18" s="851"/>
      <c r="P18" s="851"/>
      <c r="Q18" s="851"/>
      <c r="R18" s="851"/>
    </row>
    <row r="19" spans="2:18" s="9" customFormat="1" ht="24.75" customHeight="1" x14ac:dyDescent="0.2">
      <c r="B19" s="466" t="s">
        <v>514</v>
      </c>
      <c r="C19" s="468">
        <f t="shared" ref="C19:I19" si="4">SUM(C15:C18)</f>
        <v>401.57843286000008</v>
      </c>
      <c r="D19" s="468">
        <f t="shared" si="4"/>
        <v>323.37726438999988</v>
      </c>
      <c r="E19" s="468">
        <f t="shared" si="4"/>
        <v>191.19910372999999</v>
      </c>
      <c r="F19" s="468">
        <f t="shared" si="4"/>
        <v>-16.282457869999998</v>
      </c>
      <c r="G19" s="468">
        <f t="shared" si="4"/>
        <v>43.475055380000001</v>
      </c>
      <c r="H19" s="475">
        <f t="shared" si="4"/>
        <v>-21.855573899999964</v>
      </c>
      <c r="I19" s="471">
        <f t="shared" si="4"/>
        <v>921.49182458999985</v>
      </c>
      <c r="J19" s="441"/>
      <c r="K19" s="451">
        <f>SUM(K15:K18)</f>
        <v>-82.822866630000007</v>
      </c>
      <c r="L19" s="458"/>
      <c r="M19" s="623">
        <f>SUM(M15:M18)</f>
        <v>838.66895795999983</v>
      </c>
      <c r="N19" s="40"/>
      <c r="O19" s="853"/>
      <c r="P19" s="851"/>
      <c r="Q19" s="851"/>
      <c r="R19" s="851"/>
    </row>
    <row r="20" spans="2:18" s="9" customFormat="1" ht="14.25" customHeight="1" x14ac:dyDescent="0.2">
      <c r="B20" s="463"/>
      <c r="C20" s="464"/>
      <c r="D20" s="464"/>
      <c r="E20" s="464"/>
      <c r="F20" s="464"/>
      <c r="G20" s="464"/>
      <c r="H20" s="476"/>
      <c r="I20" s="388"/>
      <c r="J20" s="441"/>
      <c r="K20" s="452"/>
      <c r="L20" s="458"/>
      <c r="M20" s="625"/>
      <c r="N20" s="40"/>
      <c r="O20" s="853"/>
      <c r="P20" s="851"/>
      <c r="Q20" s="851"/>
      <c r="R20" s="851"/>
    </row>
    <row r="21" spans="2:18" s="9" customFormat="1" ht="24.75" customHeight="1" x14ac:dyDescent="0.2">
      <c r="B21" s="466" t="s">
        <v>266</v>
      </c>
      <c r="C21" s="467">
        <v>11494.506511459991</v>
      </c>
      <c r="D21" s="467">
        <v>30243.044084060002</v>
      </c>
      <c r="E21" s="467">
        <v>32638.59277827002</v>
      </c>
      <c r="F21" s="467">
        <v>94.902606710000001</v>
      </c>
      <c r="G21" s="467">
        <v>4256.7952396900009</v>
      </c>
      <c r="H21" s="477">
        <v>6723.5493070390758</v>
      </c>
      <c r="I21" s="471">
        <f>SUM(C21:H21)</f>
        <v>85451.390527229101</v>
      </c>
      <c r="J21" s="460"/>
      <c r="K21" s="453">
        <v>7947.2538339300127</v>
      </c>
      <c r="L21" s="457"/>
      <c r="M21" s="623">
        <f>I21+K21</f>
        <v>93398.644361159109</v>
      </c>
    </row>
    <row r="22" spans="2:18" s="9" customFormat="1" ht="12" customHeight="1" x14ac:dyDescent="0.2">
      <c r="B22" s="463"/>
      <c r="C22" s="464"/>
      <c r="D22" s="464"/>
      <c r="E22" s="464"/>
      <c r="F22" s="464"/>
      <c r="G22" s="464"/>
      <c r="H22" s="476"/>
      <c r="I22" s="293"/>
      <c r="J22" s="460"/>
      <c r="K22" s="448"/>
      <c r="L22" s="457"/>
      <c r="M22" s="622"/>
    </row>
    <row r="23" spans="2:18" s="9" customFormat="1" ht="24.75" customHeight="1" x14ac:dyDescent="0.2">
      <c r="B23" s="463" t="s">
        <v>219</v>
      </c>
      <c r="C23" s="443">
        <f>C9*2/C21</f>
        <v>8.9716663843884714E-2</v>
      </c>
      <c r="D23" s="443">
        <f>D9*2/D21</f>
        <v>2.2168675471176146E-2</v>
      </c>
      <c r="E23" s="443">
        <f>E9*2/E21</f>
        <v>1.0771736517208842E-2</v>
      </c>
      <c r="F23" s="443" t="s">
        <v>139</v>
      </c>
      <c r="G23" s="443">
        <f>G9*2/G21</f>
        <v>2.0002778899508642E-4</v>
      </c>
      <c r="H23" s="478">
        <f>H9*2/H21</f>
        <v>-1.2805575279987754E-3</v>
      </c>
      <c r="I23" s="205">
        <f>I9*2/I21</f>
        <v>2.3941570447213407E-2</v>
      </c>
      <c r="J23" s="461"/>
      <c r="K23" s="454">
        <f>K9*2/K21</f>
        <v>-8.2896326626353198E-3</v>
      </c>
      <c r="L23" s="459"/>
      <c r="M23" s="626">
        <f>M9*2/M21</f>
        <v>2.1199030079106684E-2</v>
      </c>
    </row>
    <row r="24" spans="2:18" s="9" customFormat="1" ht="24.75" customHeight="1" x14ac:dyDescent="0.2">
      <c r="B24" s="463" t="s">
        <v>650</v>
      </c>
      <c r="C24" s="443">
        <f>(C10+C11)*2/C21</f>
        <v>2.8164641356045472E-2</v>
      </c>
      <c r="D24" s="443">
        <f>(D10+D11)*2/D21</f>
        <v>1.0042417273070606E-2</v>
      </c>
      <c r="E24" s="443">
        <f>(E10+E11)*2/E21</f>
        <v>6.7451668917102429E-4</v>
      </c>
      <c r="F24" s="443" t="s">
        <v>139</v>
      </c>
      <c r="G24" s="443">
        <f>(G10+G11)*2/G21</f>
        <v>3.0598849257660231E-2</v>
      </c>
      <c r="H24" s="478">
        <f>(H10+H11)*2/H21</f>
        <v>1.9983687044480107E-2</v>
      </c>
      <c r="I24" s="205">
        <f>(I10+I11)*2/I21</f>
        <v>1.0680823123518049E-2</v>
      </c>
      <c r="J24" s="444"/>
      <c r="K24" s="454">
        <f>(K10+K11)*2/K21</f>
        <v>1.1478817048792829E-3</v>
      </c>
      <c r="L24" s="444"/>
      <c r="M24" s="626">
        <f>(M10+M11)*2/M21</f>
        <v>9.8696688957869549E-3</v>
      </c>
    </row>
    <row r="25" spans="2:18" s="9" customFormat="1" ht="24.75" customHeight="1" x14ac:dyDescent="0.2">
      <c r="B25" s="463" t="s">
        <v>649</v>
      </c>
      <c r="C25" s="445">
        <f>-C14/(C13)</f>
        <v>0.36472472835587133</v>
      </c>
      <c r="D25" s="445">
        <f>-D14/(D13)</f>
        <v>0.19625254747166909</v>
      </c>
      <c r="E25" s="445">
        <f>-E14/(E13)</f>
        <v>0.11314691984997106</v>
      </c>
      <c r="F25" s="445" t="s">
        <v>139</v>
      </c>
      <c r="G25" s="443" t="s">
        <v>139</v>
      </c>
      <c r="H25" s="479">
        <f>-H14/(H13)</f>
        <v>1.2695486062699333</v>
      </c>
      <c r="I25" s="206">
        <f>-I14/(I13)</f>
        <v>0.31892563862094536</v>
      </c>
      <c r="J25" s="446"/>
      <c r="K25" s="455">
        <f>-K14/(K13)</f>
        <v>-0.41652946579347389</v>
      </c>
      <c r="L25" s="446"/>
      <c r="M25" s="627">
        <f>-M14/(M13)</f>
        <v>0.33855204080929324</v>
      </c>
    </row>
    <row r="26" spans="2:18" s="9" customFormat="1" ht="24.75" customHeight="1" x14ac:dyDescent="0.2">
      <c r="B26" s="463" t="s">
        <v>220</v>
      </c>
      <c r="C26" s="443">
        <f>C15*2/C21</f>
        <v>7.3353960297413756E-2</v>
      </c>
      <c r="D26" s="443">
        <f>D15*2/D21</f>
        <v>2.5561909312808117E-2</v>
      </c>
      <c r="E26" s="443">
        <f>E15*2/E21</f>
        <v>1.1805722700046617E-2</v>
      </c>
      <c r="F26" s="443" t="s">
        <v>139</v>
      </c>
      <c r="G26" s="443">
        <f>G15*2/G21</f>
        <v>2.048180804354342E-2</v>
      </c>
      <c r="H26" s="478">
        <f>H15*2/H21</f>
        <v>-4.8215961926627556E-3</v>
      </c>
      <c r="I26" s="205">
        <f>I15*2/I21</f>
        <v>2.3704805027070206E-2</v>
      </c>
      <c r="J26" s="444"/>
      <c r="K26" s="454">
        <f>K15*2/K21</f>
        <v>-1.3778958081404143E-2</v>
      </c>
      <c r="L26" s="444"/>
      <c r="M26" s="626">
        <f>M15*2/M21</f>
        <v>2.0515326399071734E-2</v>
      </c>
    </row>
    <row r="27" spans="2:18" s="9" customFormat="1" ht="24.75" customHeight="1" x14ac:dyDescent="0.2">
      <c r="B27" s="463" t="s">
        <v>221</v>
      </c>
      <c r="C27" s="443">
        <v>4.8725256370268236E-3</v>
      </c>
      <c r="D27" s="443">
        <v>4.4379836741746531E-3</v>
      </c>
      <c r="E27" s="443">
        <v>1.1722226110078144E-5</v>
      </c>
      <c r="F27" s="443" t="s">
        <v>139</v>
      </c>
      <c r="G27" s="443">
        <v>-3.1216771225732352E-5</v>
      </c>
      <c r="H27" s="478">
        <v>-1.2764318640174795E-2</v>
      </c>
      <c r="I27" s="205">
        <v>4.4315606278185933E-3</v>
      </c>
      <c r="J27" s="444"/>
      <c r="K27" s="454">
        <v>5.1859590576331599E-3</v>
      </c>
      <c r="L27" s="444"/>
      <c r="M27" s="626">
        <v>4.5317854462667258E-3</v>
      </c>
    </row>
    <row r="28" spans="2:18" s="9" customFormat="1" ht="24.75" customHeight="1" x14ac:dyDescent="0.2">
      <c r="B28" s="294" t="s">
        <v>90</v>
      </c>
      <c r="C28" s="465">
        <f>C19*2/C21</f>
        <v>6.9873105462966587E-2</v>
      </c>
      <c r="D28" s="465">
        <f>D19*2/D21</f>
        <v>2.1385232484612233E-2</v>
      </c>
      <c r="E28" s="465">
        <f>E19*2/E21</f>
        <v>1.1716136478610419E-2</v>
      </c>
      <c r="F28" s="465" t="s">
        <v>139</v>
      </c>
      <c r="G28" s="465">
        <f>G19*2/G21</f>
        <v>2.0426190564508361E-2</v>
      </c>
      <c r="H28" s="480">
        <f>H19*2/H21</f>
        <v>-6.5012013452831344E-3</v>
      </c>
      <c r="I28" s="207">
        <f>I19*2/I21</f>
        <v>2.1567626200216516E-2</v>
      </c>
      <c r="J28" s="444"/>
      <c r="K28" s="456">
        <f>K19*2/K21</f>
        <v>-2.0843141130435769E-2</v>
      </c>
      <c r="L28" s="444"/>
      <c r="M28" s="628">
        <f>M19*2/M21</f>
        <v>1.7958910725020542E-2</v>
      </c>
    </row>
    <row r="29" spans="2:18" ht="11.25" customHeight="1" x14ac:dyDescent="0.2">
      <c r="B29" s="250"/>
      <c r="C29" s="250"/>
      <c r="D29" s="250"/>
      <c r="E29" s="250"/>
      <c r="F29" s="250"/>
      <c r="G29" s="250"/>
      <c r="H29" s="250"/>
      <c r="I29" s="250"/>
      <c r="J29" s="250"/>
      <c r="K29" s="250"/>
      <c r="L29" s="250"/>
      <c r="M29" s="250"/>
    </row>
    <row r="30" spans="2:18" ht="15.75" customHeight="1" x14ac:dyDescent="0.2">
      <c r="B30" s="1109"/>
      <c r="C30" s="1109"/>
      <c r="D30" s="1109"/>
      <c r="E30" s="1109"/>
      <c r="F30" s="1109"/>
      <c r="G30" s="1109"/>
      <c r="H30" s="1109"/>
      <c r="I30" s="1109"/>
      <c r="J30" s="1109"/>
      <c r="K30" s="1109"/>
      <c r="L30" s="1109"/>
      <c r="M30" s="1109"/>
    </row>
    <row r="31" spans="2:18" x14ac:dyDescent="0.2">
      <c r="B31" s="1109"/>
      <c r="C31" s="1109"/>
      <c r="D31" s="1109"/>
      <c r="E31" s="1109"/>
      <c r="F31" s="1109"/>
      <c r="G31" s="1109"/>
      <c r="H31" s="1109"/>
      <c r="I31" s="1109"/>
      <c r="J31" s="1109"/>
      <c r="K31" s="1109"/>
      <c r="L31" s="1109"/>
      <c r="M31" s="1109"/>
    </row>
  </sheetData>
  <mergeCells count="3">
    <mergeCell ref="B30:M30"/>
    <mergeCell ref="B31:M31"/>
    <mergeCell ref="B5:L5"/>
  </mergeCells>
  <phoneticPr fontId="24" type="noConversion"/>
  <hyperlinks>
    <hyperlink ref="M2" location="'Cover '!A1" display="Back to Cover" xr:uid="{32C074CC-BB46-4B4F-A093-1AD8656DCB33}"/>
  </hyperlinks>
  <printOptions horizontalCentered="1" verticalCentered="1"/>
  <pageMargins left="0" right="0" top="0" bottom="0" header="0" footer="0"/>
  <pageSetup paperSize="8" scale="83"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1E85D-6451-4B2C-96DC-0B4EDFAFEFD6}">
  <sheetPr codeName="Sheet10">
    <pageSetUpPr fitToPage="1"/>
  </sheetPr>
  <dimension ref="A1:L22"/>
  <sheetViews>
    <sheetView showGridLines="0" view="pageBreakPreview" zoomScaleNormal="90" zoomScaleSheetLayoutView="100" workbookViewId="0">
      <pane xSplit="2" ySplit="8" topLeftCell="D9" activePane="bottomRight" state="frozen"/>
      <selection activeCell="M28" sqref="M28"/>
      <selection pane="topRight" activeCell="M28" sqref="M28"/>
      <selection pane="bottomLeft" activeCell="M28" sqref="M28"/>
      <selection pane="bottomRight" activeCell="H16" sqref="H16"/>
    </sheetView>
  </sheetViews>
  <sheetFormatPr defaultColWidth="9.140625" defaultRowHeight="15.75" x14ac:dyDescent="0.2"/>
  <cols>
    <col min="1" max="1" width="2.42578125" style="6" customWidth="1"/>
    <col min="2" max="2" width="80.7109375" style="6" customWidth="1"/>
    <col min="3" max="8" width="19.28515625" style="6" customWidth="1"/>
    <col min="9" max="9" width="3" style="6" customWidth="1"/>
    <col min="10" max="10" width="15.7109375" style="6" customWidth="1"/>
    <col min="11" max="11" width="8.42578125" style="6" customWidth="1"/>
    <col min="12" max="12" width="13.7109375" style="6" customWidth="1"/>
    <col min="13" max="16384" width="9.140625" style="6"/>
  </cols>
  <sheetData>
    <row r="1" spans="1:12" ht="15.75" customHeight="1" x14ac:dyDescent="0.2">
      <c r="B1" s="110"/>
      <c r="C1" s="110"/>
      <c r="D1" s="110"/>
      <c r="E1" s="110"/>
      <c r="F1" s="110"/>
      <c r="G1" s="110"/>
      <c r="H1" s="110"/>
    </row>
    <row r="2" spans="1:12" ht="15.75" customHeight="1" x14ac:dyDescent="0.2">
      <c r="B2" s="110"/>
      <c r="C2" s="113"/>
      <c r="D2" s="113"/>
      <c r="E2" s="113"/>
      <c r="F2" s="113"/>
      <c r="G2" s="113"/>
      <c r="H2" s="112" t="s">
        <v>18</v>
      </c>
    </row>
    <row r="3" spans="1:12" ht="15.75" customHeight="1" x14ac:dyDescent="0.2">
      <c r="B3" s="110"/>
      <c r="C3" s="110"/>
      <c r="D3" s="110"/>
      <c r="E3" s="110"/>
      <c r="F3" s="110"/>
      <c r="G3" s="110"/>
      <c r="H3" s="110"/>
    </row>
    <row r="4" spans="1:12" ht="15.75" customHeight="1" x14ac:dyDescent="0.2">
      <c r="B4" s="110"/>
      <c r="C4" s="110"/>
      <c r="D4" s="110"/>
      <c r="E4" s="110"/>
      <c r="F4" s="110"/>
      <c r="G4" s="110"/>
      <c r="H4" s="110"/>
    </row>
    <row r="5" spans="1:12" s="17" customFormat="1" ht="28.5" x14ac:dyDescent="0.2">
      <c r="A5" s="16"/>
      <c r="B5" s="1091" t="s">
        <v>511</v>
      </c>
      <c r="C5" s="1102"/>
      <c r="D5" s="1102"/>
      <c r="E5" s="1102"/>
      <c r="F5" s="1102"/>
      <c r="G5" s="1102"/>
      <c r="H5" s="1102"/>
      <c r="I5" s="12"/>
      <c r="J5" s="12"/>
    </row>
    <row r="6" spans="1:12" s="17" customFormat="1" ht="9" customHeight="1" x14ac:dyDescent="0.2">
      <c r="A6" s="16"/>
      <c r="B6" s="117"/>
      <c r="C6" s="116"/>
      <c r="D6" s="116"/>
      <c r="E6" s="116"/>
      <c r="F6" s="116"/>
      <c r="G6" s="116"/>
      <c r="H6" s="116"/>
    </row>
    <row r="7" spans="1:12" ht="3" customHeight="1" x14ac:dyDescent="0.2">
      <c r="B7" s="110"/>
      <c r="C7" s="110"/>
      <c r="D7" s="110"/>
      <c r="E7" s="110"/>
      <c r="F7" s="110"/>
      <c r="G7" s="110"/>
      <c r="H7" s="110"/>
    </row>
    <row r="8" spans="1:12" s="7" customFormat="1" ht="40.5" customHeight="1" x14ac:dyDescent="0.2">
      <c r="B8" s="325" t="s">
        <v>0</v>
      </c>
      <c r="C8" s="326" t="s">
        <v>413</v>
      </c>
      <c r="D8" s="326" t="s">
        <v>420</v>
      </c>
      <c r="E8" s="326" t="s">
        <v>460</v>
      </c>
      <c r="F8" s="326" t="s">
        <v>512</v>
      </c>
      <c r="G8" s="327" t="s">
        <v>645</v>
      </c>
      <c r="H8" s="328" t="s">
        <v>665</v>
      </c>
    </row>
    <row r="9" spans="1:12" s="9" customFormat="1" ht="24.75" customHeight="1" x14ac:dyDescent="0.2">
      <c r="B9" s="317" t="s">
        <v>157</v>
      </c>
      <c r="C9" s="211">
        <v>-1.1408E-2</v>
      </c>
      <c r="D9" s="211">
        <v>-0.21473700000000001</v>
      </c>
      <c r="E9" s="211">
        <v>-0.12951800000000002</v>
      </c>
      <c r="F9" s="219">
        <v>-0.22817400000000004</v>
      </c>
      <c r="G9" s="951">
        <v>-9.1475000000000001E-2</v>
      </c>
      <c r="H9" s="293">
        <v>-0.43991400000000003</v>
      </c>
      <c r="J9" s="922"/>
    </row>
    <row r="10" spans="1:12" s="9" customFormat="1" ht="24.75" customHeight="1" x14ac:dyDescent="0.2">
      <c r="B10" s="317" t="s">
        <v>192</v>
      </c>
      <c r="C10" s="211">
        <v>-4.5884299999999998</v>
      </c>
      <c r="D10" s="816">
        <v>-4.9284249999999998</v>
      </c>
      <c r="E10" s="816">
        <v>-6.0511689999999989</v>
      </c>
      <c r="F10" s="219">
        <v>-9.5111390000000036</v>
      </c>
      <c r="G10" s="951">
        <v>-6.7894420000000002</v>
      </c>
      <c r="H10" s="293">
        <v>-8.0390550000000012</v>
      </c>
      <c r="J10" s="831"/>
      <c r="L10" s="829"/>
    </row>
    <row r="11" spans="1:12" s="9" customFormat="1" ht="24.75" customHeight="1" x14ac:dyDescent="0.2">
      <c r="B11" s="317" t="s">
        <v>513</v>
      </c>
      <c r="C11" s="440">
        <v>0</v>
      </c>
      <c r="D11" s="440">
        <v>0</v>
      </c>
      <c r="E11" s="440">
        <v>1.1640000000000001E-3</v>
      </c>
      <c r="F11" s="219">
        <v>-2.5596000000000001E-2</v>
      </c>
      <c r="G11" s="951">
        <v>-0.71026299999999998</v>
      </c>
      <c r="H11" s="293">
        <v>-0.21182299999999998</v>
      </c>
      <c r="I11" s="40"/>
      <c r="J11" s="831"/>
    </row>
    <row r="12" spans="1:12" s="9" customFormat="1" ht="24.75" customHeight="1" x14ac:dyDescent="0.2">
      <c r="B12" s="469" t="s">
        <v>514</v>
      </c>
      <c r="C12" s="468">
        <v>-4.599837</v>
      </c>
      <c r="D12" s="468">
        <v>-5.1431630000000004</v>
      </c>
      <c r="E12" s="468">
        <v>-6.179523999999998</v>
      </c>
      <c r="F12" s="470">
        <v>-9.7649080000000019</v>
      </c>
      <c r="G12" s="473">
        <v>-7.5911799999999996</v>
      </c>
      <c r="H12" s="471">
        <v>-8.690790999999999</v>
      </c>
      <c r="I12" s="40"/>
      <c r="J12" s="831"/>
    </row>
    <row r="13" spans="1:12" s="9" customFormat="1" ht="24.75" customHeight="1" x14ac:dyDescent="0.2">
      <c r="B13" s="317" t="s">
        <v>121</v>
      </c>
      <c r="C13" s="462">
        <v>-0.98489300000000002</v>
      </c>
      <c r="D13" s="462">
        <v>-1.0994769999999998</v>
      </c>
      <c r="E13" s="462">
        <v>-1.3378430000000003</v>
      </c>
      <c r="F13" s="387">
        <v>-2.1254950000000004</v>
      </c>
      <c r="G13" s="967">
        <v>-1.665178</v>
      </c>
      <c r="H13" s="388">
        <v>-1.9292940000000001</v>
      </c>
      <c r="I13" s="40"/>
      <c r="J13" s="831"/>
    </row>
    <row r="14" spans="1:12" s="9" customFormat="1" ht="24.75" customHeight="1" x14ac:dyDescent="0.2">
      <c r="B14" s="466" t="s">
        <v>516</v>
      </c>
      <c r="C14" s="468">
        <v>-3.6149439999999999</v>
      </c>
      <c r="D14" s="468">
        <v>-4.0436870000000003</v>
      </c>
      <c r="E14" s="468">
        <v>-4.8416800000000002</v>
      </c>
      <c r="F14" s="965">
        <v>-7.6394129999999993</v>
      </c>
      <c r="G14" s="968">
        <v>-5.9260029999999997</v>
      </c>
      <c r="H14" s="859">
        <v>-6.7614960000000011</v>
      </c>
      <c r="I14" s="40"/>
      <c r="J14" s="831"/>
    </row>
    <row r="15" spans="1:12" s="9" customFormat="1" ht="14.25" customHeight="1" x14ac:dyDescent="0.2">
      <c r="B15" s="463"/>
      <c r="C15" s="464"/>
      <c r="D15" s="464"/>
      <c r="E15" s="464"/>
      <c r="F15" s="387"/>
      <c r="G15" s="967"/>
      <c r="H15" s="388"/>
      <c r="I15" s="40"/>
      <c r="J15" s="830"/>
    </row>
    <row r="16" spans="1:12" s="9" customFormat="1" ht="24.75" customHeight="1" x14ac:dyDescent="0.2">
      <c r="B16" s="814" t="s">
        <v>515</v>
      </c>
      <c r="C16" s="815">
        <v>-2.0435750399999999</v>
      </c>
      <c r="D16" s="815">
        <v>-2.2895019099999998</v>
      </c>
      <c r="E16" s="815">
        <v>-2.7074457300000003</v>
      </c>
      <c r="F16" s="966">
        <v>-4.2482060099999996</v>
      </c>
      <c r="G16" s="969">
        <v>-3.3124347699999999</v>
      </c>
      <c r="H16" s="904">
        <v>-4.3706054299999995</v>
      </c>
      <c r="J16" s="830"/>
    </row>
    <row r="17" spans="2:8" ht="11.25" customHeight="1" x14ac:dyDescent="0.2">
      <c r="B17" s="250"/>
      <c r="C17" s="250"/>
      <c r="D17" s="250"/>
      <c r="E17" s="250"/>
      <c r="F17" s="250"/>
      <c r="G17" s="250"/>
      <c r="H17" s="250"/>
    </row>
    <row r="18" spans="2:8" ht="15.75" customHeight="1" x14ac:dyDescent="0.2">
      <c r="B18" s="1109"/>
      <c r="C18" s="1109"/>
      <c r="D18" s="1109"/>
      <c r="E18" s="1109"/>
      <c r="F18" s="1109"/>
      <c r="G18" s="1109"/>
      <c r="H18" s="1109"/>
    </row>
    <row r="22" spans="2:8" x14ac:dyDescent="0.2">
      <c r="G22" s="1028"/>
    </row>
  </sheetData>
  <mergeCells count="2">
    <mergeCell ref="B5:H5"/>
    <mergeCell ref="B18:H18"/>
  </mergeCells>
  <hyperlinks>
    <hyperlink ref="H2" location="'Cover '!A1" display="Back to Cover" xr:uid="{A63B2642-53E2-4421-83D9-D4045AFF9552}"/>
  </hyperlinks>
  <printOptions horizontalCentered="1" verticalCentered="1"/>
  <pageMargins left="0" right="0" top="0" bottom="0" header="0" footer="0"/>
  <pageSetup paperSize="8"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27B05-AF56-4DDD-A430-7EFA627A7861}">
  <sheetPr codeName="Foglio13">
    <pageSetUpPr fitToPage="1"/>
  </sheetPr>
  <dimension ref="A1:S30"/>
  <sheetViews>
    <sheetView showGridLines="0" view="pageBreakPreview" zoomScaleNormal="90" zoomScaleSheetLayoutView="100" workbookViewId="0">
      <pane xSplit="2" topLeftCell="D1" activePane="topRight" state="frozen"/>
      <selection activeCell="M28" sqref="M28"/>
      <selection pane="topRight" activeCell="B5" sqref="B5:L5"/>
    </sheetView>
  </sheetViews>
  <sheetFormatPr defaultColWidth="9.140625" defaultRowHeight="15" customHeight="1" x14ac:dyDescent="0.2"/>
  <cols>
    <col min="1" max="1" width="2.42578125" style="20" customWidth="1"/>
    <col min="2" max="2" width="41" style="20" customWidth="1"/>
    <col min="3" max="12" width="14.5703125" style="22" customWidth="1"/>
    <col min="13" max="13" width="2.42578125" style="20" customWidth="1"/>
    <col min="14" max="14" width="9.140625" style="20"/>
    <col min="15" max="15" width="12.42578125" style="20" bestFit="1" customWidth="1"/>
    <col min="16" max="16384" width="9.140625" style="20"/>
  </cols>
  <sheetData>
    <row r="1" spans="1:19" s="23" customFormat="1" ht="15.75" customHeight="1" x14ac:dyDescent="0.35">
      <c r="B1" s="481"/>
      <c r="C1" s="481"/>
      <c r="D1" s="481"/>
      <c r="E1" s="481"/>
      <c r="F1" s="481"/>
      <c r="G1" s="481"/>
      <c r="H1" s="481"/>
      <c r="I1" s="481"/>
      <c r="J1" s="481"/>
      <c r="K1" s="481"/>
      <c r="L1" s="481"/>
    </row>
    <row r="2" spans="1:19" s="23" customFormat="1" ht="15.75" customHeight="1" x14ac:dyDescent="0.35">
      <c r="B2" s="481"/>
      <c r="C2" s="481"/>
      <c r="D2" s="481"/>
      <c r="E2" s="481"/>
      <c r="F2" s="481"/>
      <c r="G2" s="481"/>
      <c r="H2" s="481"/>
      <c r="I2" s="481"/>
      <c r="J2" s="481"/>
      <c r="K2" s="481"/>
      <c r="L2" s="482" t="s">
        <v>18</v>
      </c>
    </row>
    <row r="3" spans="1:19" s="23" customFormat="1" ht="15.75" customHeight="1" x14ac:dyDescent="0.35">
      <c r="B3" s="481"/>
      <c r="C3" s="481"/>
      <c r="D3" s="481"/>
      <c r="E3" s="481"/>
      <c r="F3" s="481"/>
      <c r="G3" s="481"/>
      <c r="H3" s="481"/>
      <c r="I3" s="481"/>
      <c r="J3" s="481"/>
      <c r="K3" s="481"/>
      <c r="L3" s="481"/>
    </row>
    <row r="4" spans="1:19" s="24" customFormat="1" ht="15.75" customHeight="1" x14ac:dyDescent="0.3">
      <c r="B4" s="483"/>
      <c r="C4" s="483"/>
      <c r="D4" s="483"/>
      <c r="E4" s="483"/>
      <c r="F4" s="483"/>
      <c r="G4" s="483"/>
      <c r="H4" s="483"/>
      <c r="I4" s="483"/>
      <c r="J4" s="483"/>
      <c r="K4" s="483"/>
      <c r="L4" s="483"/>
    </row>
    <row r="5" spans="1:19" ht="28.5" x14ac:dyDescent="0.2">
      <c r="A5" s="16"/>
      <c r="B5" s="1091" t="s">
        <v>509</v>
      </c>
      <c r="C5" s="1091"/>
      <c r="D5" s="1091"/>
      <c r="E5" s="1091"/>
      <c r="F5" s="1091"/>
      <c r="G5" s="1091"/>
      <c r="H5" s="1091"/>
      <c r="I5" s="1091"/>
      <c r="J5" s="1091"/>
      <c r="K5" s="1091"/>
      <c r="L5" s="1091"/>
    </row>
    <row r="6" spans="1:19" ht="9" customHeight="1" x14ac:dyDescent="0.2">
      <c r="A6" s="16"/>
      <c r="B6" s="117"/>
      <c r="C6" s="117"/>
      <c r="D6" s="117"/>
      <c r="E6" s="117"/>
      <c r="F6" s="117"/>
      <c r="G6" s="117"/>
      <c r="H6" s="117"/>
      <c r="I6" s="117"/>
      <c r="J6" s="117"/>
      <c r="K6" s="117"/>
      <c r="L6" s="117"/>
    </row>
    <row r="7" spans="1:19" ht="11.25" customHeight="1" x14ac:dyDescent="0.2">
      <c r="A7" s="18"/>
      <c r="B7" s="438"/>
      <c r="C7" s="438"/>
      <c r="D7" s="438"/>
      <c r="E7" s="438"/>
      <c r="F7" s="438"/>
      <c r="G7" s="438"/>
      <c r="H7" s="438"/>
      <c r="I7" s="438"/>
      <c r="J7" s="438"/>
      <c r="K7" s="438"/>
      <c r="L7" s="438"/>
    </row>
    <row r="8" spans="1:19" s="23" customFormat="1" ht="11.25" customHeight="1" x14ac:dyDescent="0.35">
      <c r="B8" s="481"/>
      <c r="C8" s="484"/>
      <c r="D8" s="484"/>
      <c r="E8" s="484"/>
      <c r="F8" s="484"/>
      <c r="G8" s="484"/>
      <c r="H8" s="484"/>
      <c r="I8" s="484"/>
      <c r="J8" s="484"/>
      <c r="K8" s="484"/>
      <c r="L8" s="484"/>
    </row>
    <row r="9" spans="1:19" s="23" customFormat="1" ht="28.5" customHeight="1" x14ac:dyDescent="0.25">
      <c r="B9" s="491"/>
      <c r="C9" s="326" t="s">
        <v>256</v>
      </c>
      <c r="D9" s="326" t="s">
        <v>336</v>
      </c>
      <c r="E9" s="326" t="s">
        <v>371</v>
      </c>
      <c r="F9" s="326" t="s">
        <v>388</v>
      </c>
      <c r="G9" s="326" t="s">
        <v>413</v>
      </c>
      <c r="H9" s="326" t="s">
        <v>420</v>
      </c>
      <c r="I9" s="326" t="s">
        <v>460</v>
      </c>
      <c r="J9" s="326" t="s">
        <v>512</v>
      </c>
      <c r="K9" s="327" t="s">
        <v>645</v>
      </c>
      <c r="L9" s="328" t="s">
        <v>665</v>
      </c>
    </row>
    <row r="10" spans="1:19" s="25" customFormat="1" ht="20.25" customHeight="1" x14ac:dyDescent="0.35">
      <c r="B10" s="494"/>
      <c r="C10" s="488"/>
      <c r="D10" s="495"/>
      <c r="E10" s="495"/>
      <c r="F10" s="495"/>
      <c r="G10" s="495"/>
      <c r="H10" s="495"/>
      <c r="I10" s="495"/>
      <c r="J10" s="495"/>
      <c r="K10" s="961"/>
      <c r="L10" s="496"/>
      <c r="O10" s="657"/>
    </row>
    <row r="11" spans="1:19" s="25" customFormat="1" ht="20.25" customHeight="1" x14ac:dyDescent="0.35">
      <c r="B11" s="498" t="s">
        <v>360</v>
      </c>
      <c r="C11" s="489">
        <v>-15</v>
      </c>
      <c r="D11" s="499">
        <v>-16</v>
      </c>
      <c r="E11" s="499">
        <v>-36</v>
      </c>
      <c r="F11" s="499">
        <v>-25</v>
      </c>
      <c r="G11" s="499">
        <v>-52</v>
      </c>
      <c r="H11" s="499">
        <v>17</v>
      </c>
      <c r="I11" s="499">
        <v>44</v>
      </c>
      <c r="J11" s="499">
        <v>102</v>
      </c>
      <c r="K11" s="963">
        <v>29</v>
      </c>
      <c r="L11" s="500">
        <v>67</v>
      </c>
      <c r="N11" s="48"/>
      <c r="O11" s="48"/>
      <c r="P11" s="48"/>
      <c r="Q11" s="48"/>
      <c r="R11" s="48"/>
    </row>
    <row r="12" spans="1:19" s="25" customFormat="1" ht="20.25" customHeight="1" x14ac:dyDescent="0.35">
      <c r="B12" s="498" t="s">
        <v>517</v>
      </c>
      <c r="C12" s="489">
        <v>6</v>
      </c>
      <c r="D12" s="499">
        <v>12</v>
      </c>
      <c r="E12" s="499">
        <v>15</v>
      </c>
      <c r="F12" s="499">
        <v>7</v>
      </c>
      <c r="G12" s="499">
        <v>5</v>
      </c>
      <c r="H12" s="499">
        <v>22</v>
      </c>
      <c r="I12" s="499">
        <v>18</v>
      </c>
      <c r="J12" s="499">
        <v>6</v>
      </c>
      <c r="K12" s="963">
        <v>2</v>
      </c>
      <c r="L12" s="500">
        <v>17</v>
      </c>
      <c r="N12" s="93"/>
      <c r="O12" s="48"/>
      <c r="P12" s="48"/>
      <c r="Q12" s="656"/>
      <c r="R12" s="48"/>
      <c r="S12" s="656"/>
    </row>
    <row r="13" spans="1:19" s="25" customFormat="1" ht="20.25" customHeight="1" x14ac:dyDescent="0.35">
      <c r="B13" s="498" t="s">
        <v>518</v>
      </c>
      <c r="C13" s="489">
        <v>-36</v>
      </c>
      <c r="D13" s="499">
        <v>38</v>
      </c>
      <c r="E13" s="499">
        <v>-19</v>
      </c>
      <c r="F13" s="499">
        <v>159</v>
      </c>
      <c r="G13" s="499">
        <v>-68</v>
      </c>
      <c r="H13" s="499">
        <v>60</v>
      </c>
      <c r="I13" s="499">
        <v>-35</v>
      </c>
      <c r="J13" s="499">
        <v>183</v>
      </c>
      <c r="K13" s="963">
        <v>-104</v>
      </c>
      <c r="L13" s="500">
        <v>69</v>
      </c>
      <c r="N13" s="93"/>
      <c r="O13" s="48"/>
      <c r="P13" s="48"/>
      <c r="R13" s="48"/>
      <c r="S13" s="76"/>
    </row>
    <row r="14" spans="1:19" s="25" customFormat="1" ht="20.25" customHeight="1" x14ac:dyDescent="0.35">
      <c r="B14" s="497" t="s">
        <v>224</v>
      </c>
      <c r="C14" s="488">
        <f t="shared" ref="C14:H14" si="0">SUM(C11:C13)</f>
        <v>-45</v>
      </c>
      <c r="D14" s="495">
        <f t="shared" si="0"/>
        <v>34</v>
      </c>
      <c r="E14" s="495">
        <f t="shared" si="0"/>
        <v>-40</v>
      </c>
      <c r="F14" s="495">
        <f t="shared" si="0"/>
        <v>141</v>
      </c>
      <c r="G14" s="495">
        <f t="shared" si="0"/>
        <v>-115</v>
      </c>
      <c r="H14" s="495">
        <f t="shared" si="0"/>
        <v>99</v>
      </c>
      <c r="I14" s="495">
        <f t="shared" ref="I14" si="1">SUM(I11:I13)</f>
        <v>27</v>
      </c>
      <c r="J14" s="495">
        <f t="shared" ref="J14" si="2">SUM(J11:J13)</f>
        <v>291</v>
      </c>
      <c r="K14" s="961">
        <f t="shared" ref="K14:L14" si="3">SUM(K11:K13)</f>
        <v>-73</v>
      </c>
      <c r="L14" s="496">
        <f t="shared" si="3"/>
        <v>153</v>
      </c>
      <c r="N14" s="93"/>
      <c r="O14" s="48"/>
      <c r="P14" s="48"/>
      <c r="Q14" s="48"/>
      <c r="R14" s="48"/>
    </row>
    <row r="15" spans="1:19" s="25" customFormat="1" ht="12.6" customHeight="1" x14ac:dyDescent="0.35">
      <c r="B15" s="498"/>
      <c r="C15" s="489"/>
      <c r="D15" s="499"/>
      <c r="E15" s="499"/>
      <c r="F15" s="499"/>
      <c r="G15" s="499"/>
      <c r="H15" s="499"/>
      <c r="I15" s="499"/>
      <c r="J15" s="499"/>
      <c r="K15" s="963"/>
      <c r="L15" s="500"/>
      <c r="N15" s="93"/>
      <c r="O15" s="48"/>
      <c r="P15" s="48"/>
      <c r="Q15" s="48"/>
      <c r="R15" s="48"/>
    </row>
    <row r="16" spans="1:19" s="25" customFormat="1" ht="20.25" customHeight="1" x14ac:dyDescent="0.35">
      <c r="B16" s="498" t="s">
        <v>593</v>
      </c>
      <c r="C16" s="489">
        <v>-87</v>
      </c>
      <c r="D16" s="499">
        <v>397</v>
      </c>
      <c r="E16" s="499">
        <v>541</v>
      </c>
      <c r="F16" s="499">
        <v>1337</v>
      </c>
      <c r="G16" s="499">
        <v>1188</v>
      </c>
      <c r="H16" s="499">
        <v>523</v>
      </c>
      <c r="I16" s="499">
        <v>706</v>
      </c>
      <c r="J16" s="499">
        <v>125</v>
      </c>
      <c r="K16" s="963">
        <v>975</v>
      </c>
      <c r="L16" s="500">
        <v>65</v>
      </c>
      <c r="N16" s="48"/>
      <c r="O16" s="656"/>
      <c r="P16" s="48"/>
      <c r="Q16" s="48"/>
      <c r="R16" s="48"/>
    </row>
    <row r="17" spans="1:18" s="25" customFormat="1" ht="20.25" customHeight="1" x14ac:dyDescent="0.35">
      <c r="B17" s="498" t="s">
        <v>408</v>
      </c>
      <c r="C17" s="489">
        <v>80</v>
      </c>
      <c r="D17" s="499">
        <v>434</v>
      </c>
      <c r="E17" s="499">
        <v>276</v>
      </c>
      <c r="F17" s="499">
        <v>7</v>
      </c>
      <c r="G17" s="499">
        <v>74</v>
      </c>
      <c r="H17" s="499">
        <v>280</v>
      </c>
      <c r="I17" s="499">
        <v>213</v>
      </c>
      <c r="J17" s="499">
        <v>57</v>
      </c>
      <c r="K17" s="963">
        <v>333</v>
      </c>
      <c r="L17" s="500">
        <v>94</v>
      </c>
      <c r="N17" s="48"/>
      <c r="O17" s="48"/>
      <c r="P17" s="48"/>
      <c r="Q17" s="48"/>
      <c r="R17" s="48"/>
    </row>
    <row r="18" spans="1:18" s="25" customFormat="1" ht="20.25" customHeight="1" x14ac:dyDescent="0.35">
      <c r="B18" s="498" t="s">
        <v>519</v>
      </c>
      <c r="C18" s="489">
        <v>-142</v>
      </c>
      <c r="D18" s="499">
        <v>275</v>
      </c>
      <c r="E18" s="499">
        <v>18</v>
      </c>
      <c r="F18" s="499">
        <v>178</v>
      </c>
      <c r="G18" s="499">
        <v>3</v>
      </c>
      <c r="H18" s="499">
        <v>233</v>
      </c>
      <c r="I18" s="499">
        <v>0</v>
      </c>
      <c r="J18" s="499">
        <v>233</v>
      </c>
      <c r="K18" s="963">
        <v>22</v>
      </c>
      <c r="L18" s="500">
        <v>188</v>
      </c>
      <c r="N18" s="48"/>
      <c r="O18" s="48"/>
      <c r="P18" s="48"/>
      <c r="R18" s="48"/>
    </row>
    <row r="19" spans="1:18" s="25" customFormat="1" ht="20.25" customHeight="1" x14ac:dyDescent="0.35">
      <c r="B19" s="497" t="s">
        <v>359</v>
      </c>
      <c r="C19" s="488">
        <f t="shared" ref="C19:G19" si="4">SUM(C16:C18)</f>
        <v>-149</v>
      </c>
      <c r="D19" s="495">
        <f t="shared" si="4"/>
        <v>1106</v>
      </c>
      <c r="E19" s="495">
        <f t="shared" si="4"/>
        <v>835</v>
      </c>
      <c r="F19" s="495">
        <f t="shared" si="4"/>
        <v>1522</v>
      </c>
      <c r="G19" s="495">
        <f t="shared" si="4"/>
        <v>1265</v>
      </c>
      <c r="H19" s="495">
        <f>SUM(H16:H18)</f>
        <v>1036</v>
      </c>
      <c r="I19" s="495">
        <f t="shared" ref="I19" si="5">SUM(I16:I18)</f>
        <v>919</v>
      </c>
      <c r="J19" s="495">
        <f t="shared" ref="J19" si="6">SUM(J16:J18)</f>
        <v>415</v>
      </c>
      <c r="K19" s="961">
        <f t="shared" ref="K19:L19" si="7">SUM(K16:K18)</f>
        <v>1330</v>
      </c>
      <c r="L19" s="496">
        <f t="shared" si="7"/>
        <v>347</v>
      </c>
      <c r="N19" s="48"/>
      <c r="O19" s="48"/>
      <c r="P19" s="48"/>
      <c r="R19" s="48"/>
    </row>
    <row r="20" spans="1:18" s="25" customFormat="1" ht="15" customHeight="1" x14ac:dyDescent="0.35">
      <c r="B20" s="497"/>
      <c r="C20" s="488"/>
      <c r="D20" s="495"/>
      <c r="E20" s="495"/>
      <c r="F20" s="495"/>
      <c r="G20" s="495"/>
      <c r="H20" s="495"/>
      <c r="I20" s="495"/>
      <c r="J20" s="495"/>
      <c r="K20" s="961"/>
      <c r="L20" s="496"/>
      <c r="N20" s="48"/>
      <c r="O20" s="48"/>
      <c r="P20" s="48"/>
      <c r="R20" s="48"/>
    </row>
    <row r="21" spans="1:18" s="25" customFormat="1" ht="20.25" customHeight="1" x14ac:dyDescent="0.35">
      <c r="B21" s="497" t="s">
        <v>73</v>
      </c>
      <c r="C21" s="488">
        <f t="shared" ref="C21:G21" si="8">C14+C19</f>
        <v>-194</v>
      </c>
      <c r="D21" s="495">
        <f t="shared" si="8"/>
        <v>1140</v>
      </c>
      <c r="E21" s="495">
        <f t="shared" si="8"/>
        <v>795</v>
      </c>
      <c r="F21" s="495">
        <f t="shared" si="8"/>
        <v>1663</v>
      </c>
      <c r="G21" s="495">
        <f t="shared" si="8"/>
        <v>1150</v>
      </c>
      <c r="H21" s="495">
        <f>H14+H19</f>
        <v>1135</v>
      </c>
      <c r="I21" s="495">
        <f>I14+I19</f>
        <v>946</v>
      </c>
      <c r="J21" s="495">
        <f t="shared" ref="J21" si="9">J14+J19</f>
        <v>706</v>
      </c>
      <c r="K21" s="961">
        <f t="shared" ref="K21:L21" si="10">K14+K19</f>
        <v>1257</v>
      </c>
      <c r="L21" s="496">
        <f t="shared" si="10"/>
        <v>500</v>
      </c>
      <c r="Q21" s="48"/>
    </row>
    <row r="22" spans="1:18" s="25" customFormat="1" ht="20.25" customHeight="1" x14ac:dyDescent="0.35">
      <c r="B22" s="501"/>
      <c r="C22" s="502"/>
      <c r="D22" s="503"/>
      <c r="E22" s="503"/>
      <c r="F22" s="503"/>
      <c r="G22" s="503"/>
      <c r="H22" s="503"/>
      <c r="I22" s="503"/>
      <c r="J22" s="503"/>
      <c r="K22" s="670"/>
      <c r="L22" s="504"/>
      <c r="O22" s="48"/>
      <c r="P22" s="48"/>
    </row>
    <row r="23" spans="1:18" s="26" customFormat="1" ht="11.25" customHeight="1" x14ac:dyDescent="0.35">
      <c r="B23" s="485"/>
      <c r="C23" s="486"/>
      <c r="D23" s="486"/>
      <c r="E23" s="486"/>
      <c r="F23" s="486"/>
      <c r="G23" s="486"/>
      <c r="H23" s="486"/>
      <c r="I23" s="486"/>
      <c r="J23" s="486"/>
      <c r="K23" s="486"/>
      <c r="L23" s="486"/>
      <c r="O23" s="48"/>
      <c r="P23" s="48"/>
    </row>
    <row r="24" spans="1:18" s="15" customFormat="1" ht="20.25" customHeight="1" x14ac:dyDescent="0.2">
      <c r="B24" s="660" t="s">
        <v>520</v>
      </c>
      <c r="C24" s="487"/>
      <c r="D24" s="487"/>
      <c r="E24" s="487"/>
      <c r="F24" s="487"/>
      <c r="G24" s="487"/>
      <c r="H24" s="487"/>
      <c r="I24" s="487"/>
      <c r="J24" s="487"/>
      <c r="K24" s="487"/>
      <c r="L24" s="487"/>
    </row>
    <row r="25" spans="1:18" s="15" customFormat="1" ht="20.25" customHeight="1" x14ac:dyDescent="0.2">
      <c r="B25" s="660" t="s">
        <v>521</v>
      </c>
      <c r="C25" s="487"/>
      <c r="D25" s="487"/>
      <c r="E25" s="487"/>
      <c r="F25" s="487"/>
      <c r="G25" s="487"/>
      <c r="H25" s="487"/>
      <c r="I25" s="487"/>
      <c r="J25" s="487"/>
      <c r="K25" s="487"/>
      <c r="L25" s="487"/>
    </row>
    <row r="26" spans="1:18" s="22" customFormat="1" ht="11.25" customHeight="1" x14ac:dyDescent="0.2">
      <c r="A26" s="20"/>
      <c r="B26" s="42"/>
    </row>
    <row r="27" spans="1:18" s="22" customFormat="1" ht="21" customHeight="1" x14ac:dyDescent="0.2">
      <c r="A27" s="20"/>
      <c r="B27" s="42"/>
    </row>
    <row r="29" spans="1:18" ht="15" customHeight="1" x14ac:dyDescent="0.2">
      <c r="C29" s="45"/>
      <c r="D29" s="45"/>
      <c r="E29" s="45"/>
      <c r="F29" s="45"/>
      <c r="G29" s="45"/>
      <c r="H29" s="45"/>
      <c r="I29" s="45"/>
      <c r="J29" s="45"/>
      <c r="K29" s="45"/>
      <c r="L29" s="45"/>
      <c r="M29" s="45"/>
    </row>
    <row r="30" spans="1:18" ht="15" customHeight="1" x14ac:dyDescent="0.2">
      <c r="M30" s="22"/>
    </row>
  </sheetData>
  <mergeCells count="1">
    <mergeCell ref="B5:L5"/>
  </mergeCells>
  <hyperlinks>
    <hyperlink ref="L2" location="'Cover '!A1" display="Back to Cover" xr:uid="{6A7CCC09-A890-4866-A9C6-564B6F6D8482}"/>
  </hyperlinks>
  <printOptions horizontalCentered="1" verticalCentered="1"/>
  <pageMargins left="0" right="0" top="0" bottom="0" header="0" footer="0"/>
  <pageSetup paperSize="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A046A-8ACA-436A-8022-FF8CABA3D9E8}">
  <sheetPr codeName="Foglio7">
    <pageSetUpPr fitToPage="1"/>
  </sheetPr>
  <dimension ref="A1:S40"/>
  <sheetViews>
    <sheetView showGridLines="0" view="pageBreakPreview" zoomScale="90" zoomScaleNormal="90" zoomScaleSheetLayoutView="90" workbookViewId="0">
      <pane xSplit="2" topLeftCell="C1" activePane="topRight" state="frozen"/>
      <selection activeCell="M28" sqref="M28"/>
      <selection pane="topRight" activeCell="V30" sqref="V30"/>
    </sheetView>
  </sheetViews>
  <sheetFormatPr defaultColWidth="9.140625" defaultRowHeight="15" customHeight="1" x14ac:dyDescent="0.2"/>
  <cols>
    <col min="1" max="1" width="2.42578125" style="20" customWidth="1"/>
    <col min="2" max="2" width="41" style="20" customWidth="1"/>
    <col min="3" max="12" width="14.5703125" style="22" customWidth="1"/>
    <col min="13" max="13" width="2.42578125" style="20" customWidth="1"/>
    <col min="14" max="14" width="9.140625" style="20"/>
    <col min="15" max="15" width="12.42578125" style="20" bestFit="1" customWidth="1"/>
    <col min="16" max="16384" width="9.140625" style="20"/>
  </cols>
  <sheetData>
    <row r="1" spans="1:19" s="23" customFormat="1" ht="15.75" customHeight="1" x14ac:dyDescent="0.35">
      <c r="B1" s="481"/>
      <c r="C1" s="481"/>
      <c r="D1" s="481"/>
      <c r="E1" s="481"/>
      <c r="F1" s="481"/>
      <c r="G1" s="481"/>
      <c r="H1" s="481"/>
      <c r="I1" s="481"/>
      <c r="J1" s="481"/>
      <c r="K1" s="481"/>
      <c r="L1" s="481"/>
    </row>
    <row r="2" spans="1:19" s="23" customFormat="1" ht="15.75" customHeight="1" x14ac:dyDescent="0.35">
      <c r="B2" s="481"/>
      <c r="C2" s="481"/>
      <c r="D2" s="481"/>
      <c r="E2" s="481"/>
      <c r="F2" s="481"/>
      <c r="G2" s="481"/>
      <c r="H2" s="481"/>
      <c r="I2" s="481"/>
      <c r="J2" s="481"/>
      <c r="K2" s="481"/>
      <c r="L2" s="482" t="s">
        <v>18</v>
      </c>
    </row>
    <row r="3" spans="1:19" s="23" customFormat="1" ht="15.75" customHeight="1" x14ac:dyDescent="0.35">
      <c r="B3" s="481"/>
      <c r="C3" s="481"/>
      <c r="D3" s="481"/>
      <c r="E3" s="481"/>
      <c r="F3" s="481"/>
      <c r="G3" s="481"/>
      <c r="H3" s="481"/>
      <c r="I3" s="481"/>
      <c r="J3" s="481"/>
      <c r="K3" s="481"/>
      <c r="L3" s="481"/>
    </row>
    <row r="4" spans="1:19" s="24" customFormat="1" ht="15.75" customHeight="1" x14ac:dyDescent="0.3">
      <c r="B4" s="483"/>
      <c r="C4" s="483"/>
      <c r="D4" s="483"/>
      <c r="E4" s="483"/>
      <c r="F4" s="483"/>
      <c r="G4" s="483"/>
      <c r="H4" s="483"/>
      <c r="I4" s="483"/>
      <c r="J4" s="483"/>
      <c r="K4" s="483"/>
      <c r="L4" s="483"/>
    </row>
    <row r="5" spans="1:19" ht="28.5" x14ac:dyDescent="0.2">
      <c r="A5" s="16"/>
      <c r="B5" s="1091" t="s">
        <v>95</v>
      </c>
      <c r="C5" s="1091"/>
      <c r="D5" s="1091"/>
      <c r="E5" s="1091"/>
      <c r="F5" s="1091"/>
      <c r="G5" s="1091"/>
      <c r="H5" s="1091"/>
      <c r="I5" s="1091"/>
      <c r="J5" s="1091"/>
      <c r="K5" s="1091"/>
      <c r="L5" s="1091"/>
    </row>
    <row r="6" spans="1:19" ht="9" customHeight="1" x14ac:dyDescent="0.2">
      <c r="A6" s="16"/>
      <c r="B6" s="117"/>
      <c r="C6" s="117"/>
      <c r="D6" s="117"/>
      <c r="E6" s="117"/>
      <c r="F6" s="117"/>
      <c r="G6" s="117"/>
      <c r="H6" s="117"/>
      <c r="I6" s="117"/>
      <c r="J6" s="117"/>
      <c r="K6" s="117"/>
      <c r="L6" s="117"/>
    </row>
    <row r="7" spans="1:19" ht="11.25" customHeight="1" x14ac:dyDescent="0.2">
      <c r="A7" s="18"/>
      <c r="B7" s="438"/>
      <c r="C7" s="941"/>
      <c r="D7" s="438"/>
      <c r="E7" s="438"/>
      <c r="F7" s="438"/>
      <c r="G7" s="438"/>
      <c r="H7" s="438"/>
      <c r="I7" s="438"/>
      <c r="J7" s="438"/>
      <c r="K7" s="438"/>
      <c r="L7" s="438"/>
    </row>
    <row r="8" spans="1:19" s="23" customFormat="1" ht="11.25" customHeight="1" x14ac:dyDescent="0.35">
      <c r="B8" s="481"/>
      <c r="C8" s="484"/>
      <c r="D8" s="484"/>
      <c r="E8" s="484"/>
      <c r="F8" s="484"/>
      <c r="G8" s="484"/>
      <c r="H8" s="484"/>
      <c r="I8" s="484"/>
      <c r="J8" s="484"/>
      <c r="K8" s="484"/>
      <c r="L8" s="484"/>
    </row>
    <row r="9" spans="1:19" s="23" customFormat="1" ht="28.5" customHeight="1" x14ac:dyDescent="0.25">
      <c r="B9" s="491"/>
      <c r="C9" s="492">
        <v>45382</v>
      </c>
      <c r="D9" s="492">
        <v>45473</v>
      </c>
      <c r="E9" s="492">
        <v>45565</v>
      </c>
      <c r="F9" s="492">
        <v>45657</v>
      </c>
      <c r="G9" s="492">
        <v>45747</v>
      </c>
      <c r="H9" s="492">
        <v>45838</v>
      </c>
      <c r="I9" s="492">
        <v>45930</v>
      </c>
      <c r="J9" s="492">
        <v>46022</v>
      </c>
      <c r="K9" s="505">
        <v>46112</v>
      </c>
      <c r="L9" s="493">
        <v>46203</v>
      </c>
    </row>
    <row r="10" spans="1:19" s="25" customFormat="1" ht="20.25" customHeight="1" x14ac:dyDescent="0.35">
      <c r="B10" s="494" t="s">
        <v>103</v>
      </c>
      <c r="C10" s="488"/>
      <c r="D10" s="495"/>
      <c r="E10" s="495"/>
      <c r="F10" s="495"/>
      <c r="G10" s="495"/>
      <c r="H10" s="495"/>
      <c r="I10" s="495"/>
      <c r="J10" s="495"/>
      <c r="K10" s="961"/>
      <c r="L10" s="496"/>
      <c r="O10" s="657"/>
    </row>
    <row r="11" spans="1:19" s="25" customFormat="1" ht="20.25" customHeight="1" x14ac:dyDescent="0.35">
      <c r="B11" s="497" t="s">
        <v>222</v>
      </c>
      <c r="C11" s="488">
        <v>22236.156401214306</v>
      </c>
      <c r="D11" s="495">
        <v>23518.711968549593</v>
      </c>
      <c r="E11" s="495">
        <v>24205.606308614799</v>
      </c>
      <c r="F11" s="495">
        <v>25894.374609311682</v>
      </c>
      <c r="G11" s="495">
        <v>27064.902322824008</v>
      </c>
      <c r="H11" s="495">
        <v>28094.1094193032</v>
      </c>
      <c r="I11" s="495">
        <v>28907.397334558707</v>
      </c>
      <c r="J11" s="495">
        <v>29430.246784324205</v>
      </c>
      <c r="K11" s="961">
        <v>30711.643724197012</v>
      </c>
      <c r="L11" s="496">
        <v>31054.691343376267</v>
      </c>
      <c r="N11" s="48"/>
      <c r="O11" s="495"/>
      <c r="P11" s="48"/>
      <c r="Q11" s="48"/>
      <c r="R11" s="48"/>
    </row>
    <row r="12" spans="1:19" s="25" customFormat="1" ht="20.25" customHeight="1" x14ac:dyDescent="0.35">
      <c r="B12" s="498" t="s">
        <v>223</v>
      </c>
      <c r="C12" s="489">
        <f t="shared" ref="C12:H12" si="0">C11-C13-C14-C15</f>
        <v>10581.835123744306</v>
      </c>
      <c r="D12" s="499">
        <f t="shared" si="0"/>
        <v>11033.950242489589</v>
      </c>
      <c r="E12" s="499">
        <f t="shared" si="0"/>
        <v>11842.633778324784</v>
      </c>
      <c r="F12" s="499">
        <f t="shared" si="0"/>
        <v>13025.036070451675</v>
      </c>
      <c r="G12" s="499">
        <f t="shared" si="0"/>
        <v>14162.677626104012</v>
      </c>
      <c r="H12" s="499">
        <f t="shared" si="0"/>
        <v>14733.919758007816</v>
      </c>
      <c r="I12" s="499">
        <f t="shared" ref="I12" si="1">I11-I13-I14-I15</f>
        <v>15513.730288948709</v>
      </c>
      <c r="J12" s="499">
        <f>J11-J13-J14-J15</f>
        <v>15613.773004594201</v>
      </c>
      <c r="K12" s="963">
        <f>K11-K13-K14-K15</f>
        <v>16744.002193356995</v>
      </c>
      <c r="L12" s="500">
        <f>L11-L13-L14-L15</f>
        <v>16636.117438206267</v>
      </c>
      <c r="N12" s="48"/>
      <c r="O12" s="495"/>
      <c r="P12" s="48"/>
      <c r="Q12" s="656"/>
      <c r="R12" s="48"/>
      <c r="S12" s="656"/>
    </row>
    <row r="13" spans="1:19" s="25" customFormat="1" ht="20.25" customHeight="1" x14ac:dyDescent="0.35">
      <c r="B13" s="498" t="s">
        <v>480</v>
      </c>
      <c r="C13" s="489">
        <v>6887.6299575700004</v>
      </c>
      <c r="D13" s="499">
        <v>7189.9548364700013</v>
      </c>
      <c r="E13" s="499">
        <v>7159.8794932700157</v>
      </c>
      <c r="F13" s="499">
        <v>7315.2876372000082</v>
      </c>
      <c r="G13" s="499">
        <v>7427.3356251599962</v>
      </c>
      <c r="H13" s="499">
        <v>7714.6949108053868</v>
      </c>
      <c r="I13" s="499">
        <v>7573.3980849599984</v>
      </c>
      <c r="J13" s="499">
        <v>7724.573088920004</v>
      </c>
      <c r="K13" s="963">
        <v>7673.9461980600163</v>
      </c>
      <c r="L13" s="500">
        <v>7858.8489896399969</v>
      </c>
      <c r="N13" s="48"/>
      <c r="O13" s="1088"/>
      <c r="P13" s="48"/>
      <c r="R13" s="48"/>
      <c r="S13" s="76"/>
    </row>
    <row r="14" spans="1:19" s="25" customFormat="1" ht="20.25" customHeight="1" x14ac:dyDescent="0.35">
      <c r="B14" s="498" t="s">
        <v>97</v>
      </c>
      <c r="C14" s="489">
        <v>2525.2433058999995</v>
      </c>
      <c r="D14" s="499">
        <v>2990.9356095900002</v>
      </c>
      <c r="E14" s="499">
        <v>2911.2199500799993</v>
      </c>
      <c r="F14" s="499">
        <v>3079.1959298500001</v>
      </c>
      <c r="G14" s="499">
        <v>3071.9958869899997</v>
      </c>
      <c r="H14" s="499">
        <v>3148.9544836599998</v>
      </c>
      <c r="I14" s="499">
        <v>3344.7782790299998</v>
      </c>
      <c r="J14" s="499">
        <v>3428.14017552</v>
      </c>
      <c r="K14" s="963">
        <v>3741.2148046999996</v>
      </c>
      <c r="L14" s="500">
        <v>3919.9833964900004</v>
      </c>
      <c r="N14" s="48"/>
      <c r="O14" s="495"/>
      <c r="P14" s="48"/>
      <c r="Q14" s="48"/>
      <c r="R14" s="48"/>
    </row>
    <row r="15" spans="1:19" s="25" customFormat="1" ht="20.25" customHeight="1" x14ac:dyDescent="0.35">
      <c r="B15" s="498" t="s">
        <v>96</v>
      </c>
      <c r="C15" s="489">
        <v>2241.4480140000005</v>
      </c>
      <c r="D15" s="499">
        <v>2303.8712800000012</v>
      </c>
      <c r="E15" s="499">
        <v>2291.8730869399997</v>
      </c>
      <c r="F15" s="499">
        <v>2474.8549718099994</v>
      </c>
      <c r="G15" s="499">
        <v>2402.8931845700008</v>
      </c>
      <c r="H15" s="499">
        <v>2496.5402668299989</v>
      </c>
      <c r="I15" s="499">
        <v>2475.4906816200005</v>
      </c>
      <c r="J15" s="499">
        <v>2663.7605152900005</v>
      </c>
      <c r="K15" s="963">
        <v>2552.4805280799987</v>
      </c>
      <c r="L15" s="500">
        <v>2639.7415190400011</v>
      </c>
      <c r="N15" s="48"/>
      <c r="O15" s="495"/>
      <c r="P15" s="48"/>
      <c r="Q15" s="48"/>
      <c r="R15" s="48"/>
    </row>
    <row r="16" spans="1:19" s="25" customFormat="1" ht="20.25" customHeight="1" x14ac:dyDescent="0.35">
      <c r="B16" s="497" t="s">
        <v>224</v>
      </c>
      <c r="C16" s="488">
        <f t="shared" ref="C16:H16" si="2">+C17+C18</f>
        <v>7756.5411244300494</v>
      </c>
      <c r="D16" s="495">
        <f t="shared" si="2"/>
        <v>7767.6559861499918</v>
      </c>
      <c r="E16" s="495">
        <f t="shared" si="2"/>
        <v>7781.3331347799849</v>
      </c>
      <c r="F16" s="495">
        <f t="shared" si="2"/>
        <v>7821.979095760119</v>
      </c>
      <c r="G16" s="495">
        <f t="shared" si="2"/>
        <v>7713.8358623999293</v>
      </c>
      <c r="H16" s="495">
        <f t="shared" si="2"/>
        <v>7788.4076361298921</v>
      </c>
      <c r="I16" s="495">
        <f t="shared" ref="I16" si="3">+I17+I18</f>
        <v>7868.1263765099648</v>
      </c>
      <c r="J16" s="495">
        <f>+J17+J18</f>
        <v>7905.1636080099643</v>
      </c>
      <c r="K16" s="961">
        <f>+K17+K18</f>
        <v>7924.074892450004</v>
      </c>
      <c r="L16" s="496">
        <f>+L17+L18</f>
        <v>7992.0546280999588</v>
      </c>
      <c r="N16" s="48"/>
      <c r="O16" s="495"/>
      <c r="P16" s="48"/>
      <c r="Q16" s="48"/>
      <c r="R16" s="48"/>
    </row>
    <row r="17" spans="2:18" s="25" customFormat="1" ht="20.25" customHeight="1" x14ac:dyDescent="0.35">
      <c r="B17" s="498" t="s">
        <v>98</v>
      </c>
      <c r="C17" s="489">
        <v>6161.187211230028</v>
      </c>
      <c r="D17" s="499">
        <v>6132.6417113399948</v>
      </c>
      <c r="E17" s="499">
        <v>6120.0250055500019</v>
      </c>
      <c r="F17" s="499">
        <v>6097.4436284701369</v>
      </c>
      <c r="G17" s="499">
        <v>6020.0994846799322</v>
      </c>
      <c r="H17" s="499">
        <v>6037.7343134299117</v>
      </c>
      <c r="I17" s="499">
        <v>6076.6076236299723</v>
      </c>
      <c r="J17" s="499">
        <v>6156.6540641699848</v>
      </c>
      <c r="K17" s="963">
        <v>6172.4842017700194</v>
      </c>
      <c r="L17" s="500">
        <v>6196.1482159399848</v>
      </c>
      <c r="N17" s="48"/>
      <c r="O17" s="495"/>
      <c r="P17" s="48"/>
      <c r="Q17" s="48"/>
      <c r="R17" s="48"/>
    </row>
    <row r="18" spans="2:18" s="25" customFormat="1" ht="20.25" customHeight="1" x14ac:dyDescent="0.35">
      <c r="B18" s="498" t="s">
        <v>110</v>
      </c>
      <c r="C18" s="489">
        <v>1595.3539132000217</v>
      </c>
      <c r="D18" s="499">
        <v>1635.0142748099968</v>
      </c>
      <c r="E18" s="499">
        <v>1661.308129229983</v>
      </c>
      <c r="F18" s="499">
        <v>1724.5354672899823</v>
      </c>
      <c r="G18" s="499">
        <v>1693.7363777199971</v>
      </c>
      <c r="H18" s="499">
        <v>1750.6733226999809</v>
      </c>
      <c r="I18" s="499">
        <v>1791.5187528799929</v>
      </c>
      <c r="J18" s="499">
        <v>1748.5095438399796</v>
      </c>
      <c r="K18" s="963">
        <v>1751.5906906799842</v>
      </c>
      <c r="L18" s="500">
        <v>1795.9064121599736</v>
      </c>
      <c r="N18" s="48"/>
      <c r="O18" s="495"/>
      <c r="P18" s="48"/>
      <c r="R18" s="48"/>
    </row>
    <row r="19" spans="2:18" s="25" customFormat="1" ht="20.25" customHeight="1" x14ac:dyDescent="0.35">
      <c r="B19" s="497" t="s">
        <v>692</v>
      </c>
      <c r="C19" s="488">
        <f>C11+C16</f>
        <v>29992.697525644355</v>
      </c>
      <c r="D19" s="488">
        <f t="shared" ref="D19:K19" si="4">D11+D16</f>
        <v>31286.367954699585</v>
      </c>
      <c r="E19" s="488">
        <f t="shared" si="4"/>
        <v>31986.939443394782</v>
      </c>
      <c r="F19" s="488">
        <f t="shared" si="4"/>
        <v>33716.353705071801</v>
      </c>
      <c r="G19" s="488">
        <f t="shared" si="4"/>
        <v>34778.738185223934</v>
      </c>
      <c r="H19" s="488">
        <f t="shared" si="4"/>
        <v>35882.517055433091</v>
      </c>
      <c r="I19" s="488">
        <f t="shared" si="4"/>
        <v>36775.523711068672</v>
      </c>
      <c r="J19" s="488">
        <f t="shared" si="4"/>
        <v>37335.410392334168</v>
      </c>
      <c r="K19" s="961">
        <f t="shared" si="4"/>
        <v>38635.71861664702</v>
      </c>
      <c r="L19" s="496">
        <f>L11+L16</f>
        <v>39046.745971476223</v>
      </c>
      <c r="N19" s="656"/>
      <c r="O19" s="495"/>
      <c r="P19" s="48"/>
      <c r="R19" s="48"/>
    </row>
    <row r="20" spans="2:18" s="25" customFormat="1" ht="20.25" customHeight="1" x14ac:dyDescent="0.35">
      <c r="B20" s="497" t="s">
        <v>117</v>
      </c>
      <c r="C20" s="488">
        <v>5902.6959318857143</v>
      </c>
      <c r="D20" s="495">
        <v>5848.6639154404074</v>
      </c>
      <c r="E20" s="495">
        <v>5787.4663144752458</v>
      </c>
      <c r="F20" s="495">
        <v>5721.6914667183264</v>
      </c>
      <c r="G20" s="495">
        <f>'Loan portfolio quality'!G12</f>
        <v>5656.0063548559601</v>
      </c>
      <c r="H20" s="495">
        <v>5572.9545994468099</v>
      </c>
      <c r="I20" s="495">
        <v>5495.3634939712865</v>
      </c>
      <c r="J20" s="495">
        <v>5457.6334269657673</v>
      </c>
      <c r="K20" s="961">
        <v>5377.5140200029764</v>
      </c>
      <c r="L20" s="496">
        <v>5306.9041597838213</v>
      </c>
      <c r="N20" s="48"/>
      <c r="O20" s="495"/>
      <c r="P20" s="48"/>
      <c r="R20" s="48"/>
    </row>
    <row r="21" spans="2:18" s="25" customFormat="1" ht="20.25" customHeight="1" x14ac:dyDescent="0.35">
      <c r="B21" s="497" t="s">
        <v>73</v>
      </c>
      <c r="C21" s="488">
        <f>C19+C20</f>
        <v>35895.393457530066</v>
      </c>
      <c r="D21" s="488">
        <f>D19+D20</f>
        <v>37135.031870139996</v>
      </c>
      <c r="E21" s="488">
        <f t="shared" ref="E21:K21" si="5">E19+E20</f>
        <v>37774.40575787003</v>
      </c>
      <c r="F21" s="488">
        <f t="shared" si="5"/>
        <v>39438.045171790131</v>
      </c>
      <c r="G21" s="488">
        <f t="shared" si="5"/>
        <v>40434.744540079897</v>
      </c>
      <c r="H21" s="488">
        <f t="shared" si="5"/>
        <v>41455.471654879904</v>
      </c>
      <c r="I21" s="488">
        <f t="shared" si="5"/>
        <v>42270.887205039959</v>
      </c>
      <c r="J21" s="488">
        <f t="shared" si="5"/>
        <v>42793.043819299935</v>
      </c>
      <c r="K21" s="961">
        <f t="shared" si="5"/>
        <v>44013.232636649998</v>
      </c>
      <c r="L21" s="496">
        <f>L19+L20</f>
        <v>44353.650131260045</v>
      </c>
      <c r="N21" s="48"/>
      <c r="O21" s="495"/>
      <c r="P21" s="656"/>
      <c r="R21" s="48"/>
    </row>
    <row r="22" spans="2:18" s="25" customFormat="1" ht="20.25" customHeight="1" x14ac:dyDescent="0.35">
      <c r="B22" s="497"/>
      <c r="C22" s="488"/>
      <c r="D22" s="495"/>
      <c r="E22" s="495"/>
      <c r="F22" s="495"/>
      <c r="G22" s="495"/>
      <c r="H22" s="495"/>
      <c r="I22" s="495"/>
      <c r="J22" s="495"/>
      <c r="K22" s="961"/>
      <c r="L22" s="496"/>
      <c r="Q22" s="48"/>
    </row>
    <row r="23" spans="2:18" s="25" customFormat="1" ht="20.25" customHeight="1" x14ac:dyDescent="0.35">
      <c r="B23" s="494" t="s">
        <v>99</v>
      </c>
      <c r="C23" s="489"/>
      <c r="D23" s="489"/>
      <c r="E23" s="489"/>
      <c r="F23" s="499"/>
      <c r="G23" s="489"/>
      <c r="H23" s="489"/>
      <c r="I23" s="489"/>
      <c r="J23" s="489"/>
      <c r="K23" s="961"/>
      <c r="L23" s="500"/>
      <c r="P23" s="48"/>
    </row>
    <row r="24" spans="2:18" s="25" customFormat="1" ht="20.25" customHeight="1" x14ac:dyDescent="0.35">
      <c r="B24" s="498" t="s">
        <v>100</v>
      </c>
      <c r="C24" s="489">
        <v>2939.058291159999</v>
      </c>
      <c r="D24" s="499">
        <v>3268.3964427200003</v>
      </c>
      <c r="E24" s="499">
        <v>3100</v>
      </c>
      <c r="F24" s="499">
        <v>3397</v>
      </c>
      <c r="G24" s="499">
        <v>3759.4318745299997</v>
      </c>
      <c r="H24" s="499">
        <v>3830.3696281800035</v>
      </c>
      <c r="I24" s="499">
        <v>3795.1478736299969</v>
      </c>
      <c r="J24" s="499">
        <v>3598.8463662800018</v>
      </c>
      <c r="K24" s="963">
        <v>3707.0176233800003</v>
      </c>
      <c r="L24" s="500">
        <v>3618.8179785400025</v>
      </c>
      <c r="N24" s="48"/>
      <c r="O24" s="48"/>
      <c r="P24" s="48"/>
      <c r="Q24" s="48"/>
      <c r="R24" s="48"/>
    </row>
    <row r="25" spans="2:18" s="25" customFormat="1" ht="20.25" customHeight="1" x14ac:dyDescent="0.35">
      <c r="B25" s="498" t="s">
        <v>101</v>
      </c>
      <c r="C25" s="489">
        <v>2333.9914161099987</v>
      </c>
      <c r="D25" s="499">
        <v>2353.6150409099992</v>
      </c>
      <c r="E25" s="499">
        <v>2572</v>
      </c>
      <c r="F25" s="499">
        <v>2571</v>
      </c>
      <c r="G25" s="499">
        <v>3014.2902558699993</v>
      </c>
      <c r="H25" s="499">
        <v>3062.8191162099993</v>
      </c>
      <c r="I25" s="499">
        <v>3074.1231921700014</v>
      </c>
      <c r="J25" s="499">
        <v>3347.3500091000005</v>
      </c>
      <c r="K25" s="963">
        <v>3644.5287656799983</v>
      </c>
      <c r="L25" s="500">
        <v>3410.72357397</v>
      </c>
      <c r="N25" s="48"/>
      <c r="O25" s="1038"/>
      <c r="P25" s="48"/>
      <c r="Q25" s="48"/>
      <c r="R25" s="48"/>
    </row>
    <row r="26" spans="2:18" s="25" customFormat="1" ht="20.25" customHeight="1" x14ac:dyDescent="0.35">
      <c r="B26" s="498" t="s">
        <v>102</v>
      </c>
      <c r="C26" s="489">
        <v>2538.7364932999999</v>
      </c>
      <c r="D26" s="499">
        <v>2561.7796666800004</v>
      </c>
      <c r="E26" s="499">
        <v>2960</v>
      </c>
      <c r="F26" s="499">
        <v>3104</v>
      </c>
      <c r="G26" s="499">
        <v>3178.8417325199994</v>
      </c>
      <c r="H26" s="499">
        <v>3367.48462763</v>
      </c>
      <c r="I26" s="499">
        <v>3706.7587124200004</v>
      </c>
      <c r="J26" s="499">
        <v>3572.5018948399993</v>
      </c>
      <c r="K26" s="963">
        <v>3492.4554757400001</v>
      </c>
      <c r="L26" s="500">
        <v>3779.0495134199987</v>
      </c>
      <c r="N26" s="48"/>
      <c r="O26" s="1066"/>
      <c r="P26" s="48"/>
      <c r="Q26" s="48"/>
      <c r="R26" s="48"/>
    </row>
    <row r="27" spans="2:18" s="25" customFormat="1" ht="20.25" customHeight="1" x14ac:dyDescent="0.35">
      <c r="B27" s="498" t="s">
        <v>225</v>
      </c>
      <c r="C27" s="489">
        <v>2551.0763313800035</v>
      </c>
      <c r="D27" s="499">
        <v>2677.5861599699992</v>
      </c>
      <c r="E27" s="499">
        <v>2643</v>
      </c>
      <c r="F27" s="499">
        <v>2486</v>
      </c>
      <c r="G27" s="499">
        <v>2587.1590275400008</v>
      </c>
      <c r="H27" s="499">
        <v>2754.4840170899997</v>
      </c>
      <c r="I27" s="499">
        <v>2676.770706380003</v>
      </c>
      <c r="J27" s="499">
        <v>2637.7810655800022</v>
      </c>
      <c r="K27" s="963">
        <v>2753.9808054900036</v>
      </c>
      <c r="L27" s="500">
        <v>2669.7406562200017</v>
      </c>
      <c r="N27" s="48"/>
      <c r="O27" s="48"/>
      <c r="P27" s="48"/>
      <c r="Q27" s="48"/>
      <c r="R27" s="48"/>
    </row>
    <row r="28" spans="2:18" s="25" customFormat="1" ht="20.25" customHeight="1" x14ac:dyDescent="0.35">
      <c r="B28" s="498" t="s">
        <v>226</v>
      </c>
      <c r="C28" s="489">
        <v>1956.5871280899996</v>
      </c>
      <c r="D28" s="499">
        <v>2004.6094873899999</v>
      </c>
      <c r="E28" s="499">
        <v>1943</v>
      </c>
      <c r="F28" s="499">
        <v>2732</v>
      </c>
      <c r="G28" s="499">
        <v>2691.7909181500004</v>
      </c>
      <c r="H28" s="499">
        <v>2708.8150248600004</v>
      </c>
      <c r="I28" s="499">
        <v>2806.3823844000012</v>
      </c>
      <c r="J28" s="499">
        <v>2718.58680056</v>
      </c>
      <c r="K28" s="963">
        <v>3059.6618278700025</v>
      </c>
      <c r="L28" s="500">
        <v>3240.0904617099995</v>
      </c>
      <c r="N28" s="48"/>
      <c r="O28" s="48"/>
      <c r="P28" s="48"/>
      <c r="Q28" s="48"/>
      <c r="R28" s="48"/>
    </row>
    <row r="29" spans="2:18" s="25" customFormat="1" ht="20.25" customHeight="1" x14ac:dyDescent="0.35">
      <c r="B29" s="498" t="s">
        <v>227</v>
      </c>
      <c r="C29" s="489">
        <v>3493.3578696599993</v>
      </c>
      <c r="D29" s="499">
        <v>3950.9161177400006</v>
      </c>
      <c r="E29" s="499">
        <v>4147</v>
      </c>
      <c r="F29" s="499">
        <v>4231</v>
      </c>
      <c r="G29" s="499">
        <v>4178.137744390001</v>
      </c>
      <c r="H29" s="499">
        <v>4148.5339755700033</v>
      </c>
      <c r="I29" s="499">
        <v>4359.4329048299978</v>
      </c>
      <c r="J29" s="499">
        <v>5023.2597959699988</v>
      </c>
      <c r="K29" s="963">
        <v>5476.0095185099963</v>
      </c>
      <c r="L29" s="500">
        <v>5690.6986818899968</v>
      </c>
      <c r="N29" s="48"/>
      <c r="O29" s="1038"/>
      <c r="P29" s="48"/>
      <c r="Q29" s="48"/>
      <c r="R29" s="48"/>
    </row>
    <row r="30" spans="2:18" s="25" customFormat="1" ht="20.25" customHeight="1" x14ac:dyDescent="0.35">
      <c r="B30" s="498" t="s">
        <v>39</v>
      </c>
      <c r="C30" s="489">
        <f t="shared" ref="C30:H30" si="6">C12+C13+C14-SUM(C24:C29)</f>
        <v>4181.9008575143034</v>
      </c>
      <c r="D30" s="499">
        <f t="shared" si="6"/>
        <v>4397.9377731395871</v>
      </c>
      <c r="E30" s="499">
        <f t="shared" si="6"/>
        <v>4548.7332216747964</v>
      </c>
      <c r="F30" s="499">
        <f t="shared" si="6"/>
        <v>4898.5196375016822</v>
      </c>
      <c r="G30" s="499">
        <f t="shared" si="6"/>
        <v>5252.3575852540089</v>
      </c>
      <c r="H30" s="499">
        <f t="shared" si="6"/>
        <v>5725.0627629331975</v>
      </c>
      <c r="I30" s="499">
        <f t="shared" ref="I30" si="7">I12+I13+I14-SUM(I24:I29)</f>
        <v>6013.2908791087102</v>
      </c>
      <c r="J30" s="499">
        <f>J12+J13+J14-SUM(J24:J29)</f>
        <v>5868.1603367042007</v>
      </c>
      <c r="K30" s="963">
        <f>K12+K13+K14-SUM(K24:K29)</f>
        <v>6025.50917944701</v>
      </c>
      <c r="L30" s="500">
        <f>L12+L13+L14-SUM(L24:L29)</f>
        <v>6005.8289585862658</v>
      </c>
      <c r="N30" s="48"/>
      <c r="O30" s="48"/>
      <c r="P30" s="48"/>
      <c r="Q30" s="48"/>
      <c r="R30" s="48"/>
    </row>
    <row r="31" spans="2:18" s="25" customFormat="1" ht="20.25" customHeight="1" x14ac:dyDescent="0.35">
      <c r="B31" s="497" t="s">
        <v>338</v>
      </c>
      <c r="C31" s="488">
        <f t="shared" ref="C31:H31" si="8">SUM(C24:C30)</f>
        <v>19994.708387214305</v>
      </c>
      <c r="D31" s="495">
        <f t="shared" si="8"/>
        <v>21214.84068854959</v>
      </c>
      <c r="E31" s="495">
        <f t="shared" si="8"/>
        <v>21913.733221674796</v>
      </c>
      <c r="F31" s="495">
        <f t="shared" si="8"/>
        <v>23419.519637501682</v>
      </c>
      <c r="G31" s="495">
        <f t="shared" si="8"/>
        <v>24662.009138254009</v>
      </c>
      <c r="H31" s="495">
        <f t="shared" si="8"/>
        <v>25597.569152473203</v>
      </c>
      <c r="I31" s="495">
        <f>SUM(I24:I30)</f>
        <v>26431.906652938709</v>
      </c>
      <c r="J31" s="495">
        <f>SUM(J24:J30)</f>
        <v>26766.486269034205</v>
      </c>
      <c r="K31" s="961">
        <f>SUM(K24:K30)</f>
        <v>28159.163196117013</v>
      </c>
      <c r="L31" s="496">
        <f>SUM(L24:L30)</f>
        <v>28414.949824336265</v>
      </c>
      <c r="N31" s="48"/>
      <c r="O31" s="48"/>
      <c r="P31" s="48"/>
      <c r="Q31" s="48"/>
      <c r="R31" s="48"/>
    </row>
    <row r="32" spans="2:18" s="25" customFormat="1" ht="20.25" customHeight="1" x14ac:dyDescent="0.35">
      <c r="B32" s="501"/>
      <c r="C32" s="502"/>
      <c r="D32" s="503"/>
      <c r="E32" s="503"/>
      <c r="F32" s="503"/>
      <c r="G32" s="503"/>
      <c r="H32" s="503"/>
      <c r="I32" s="503"/>
      <c r="J32" s="503"/>
      <c r="K32" s="670"/>
      <c r="L32" s="504"/>
      <c r="O32" s="48"/>
      <c r="P32" s="48"/>
    </row>
    <row r="33" spans="1:16" s="26" customFormat="1" ht="11.25" customHeight="1" x14ac:dyDescent="0.35">
      <c r="B33" s="485"/>
      <c r="C33" s="486"/>
      <c r="D33" s="486"/>
      <c r="E33" s="486"/>
      <c r="F33" s="486"/>
      <c r="G33" s="486"/>
      <c r="H33" s="486"/>
      <c r="I33" s="486"/>
      <c r="J33" s="486"/>
      <c r="K33" s="486"/>
      <c r="L33" s="486"/>
      <c r="O33" s="48"/>
      <c r="P33" s="48"/>
    </row>
    <row r="34" spans="1:16" s="15" customFormat="1" ht="20.25" customHeight="1" x14ac:dyDescent="0.2">
      <c r="B34" s="660" t="s">
        <v>670</v>
      </c>
      <c r="C34" s="487"/>
      <c r="D34" s="487"/>
      <c r="E34" s="487"/>
      <c r="F34" s="487"/>
      <c r="G34" s="487"/>
      <c r="H34" s="487"/>
      <c r="I34" s="487"/>
      <c r="J34" s="487"/>
      <c r="K34" s="487"/>
      <c r="L34" s="487"/>
    </row>
    <row r="35" spans="1:16" s="15" customFormat="1" ht="20.25" customHeight="1" x14ac:dyDescent="0.2">
      <c r="B35" s="660" t="s">
        <v>505</v>
      </c>
      <c r="C35" s="487"/>
      <c r="D35" s="487"/>
      <c r="E35" s="487"/>
      <c r="F35" s="487"/>
      <c r="G35" s="487"/>
      <c r="H35" s="487"/>
      <c r="I35" s="487"/>
      <c r="J35" s="487"/>
      <c r="K35" s="487"/>
      <c r="L35" s="487"/>
    </row>
    <row r="36" spans="1:16" s="22" customFormat="1" ht="11.25" customHeight="1" x14ac:dyDescent="0.2">
      <c r="A36" s="20"/>
      <c r="B36" s="42"/>
    </row>
    <row r="37" spans="1:16" s="22" customFormat="1" ht="21" customHeight="1" x14ac:dyDescent="0.2">
      <c r="A37" s="20"/>
      <c r="B37" s="42"/>
    </row>
    <row r="39" spans="1:16" ht="15" customHeight="1" x14ac:dyDescent="0.2">
      <c r="C39" s="45"/>
      <c r="D39" s="45"/>
      <c r="E39" s="45"/>
      <c r="F39" s="45"/>
      <c r="G39" s="45"/>
      <c r="H39" s="45"/>
      <c r="I39" s="45"/>
      <c r="J39" s="45"/>
      <c r="K39" s="45"/>
      <c r="L39" s="45"/>
      <c r="M39" s="45"/>
    </row>
    <row r="40" spans="1:16" ht="15" customHeight="1" x14ac:dyDescent="0.2">
      <c r="M40" s="22"/>
    </row>
  </sheetData>
  <mergeCells count="1">
    <mergeCell ref="B5:L5"/>
  </mergeCells>
  <hyperlinks>
    <hyperlink ref="L2" location="'Cover '!A1" display="Back to Cover" xr:uid="{74B85B39-0808-422C-BD95-110F6A0F32CD}"/>
  </hyperlinks>
  <printOptions horizontalCentered="1" verticalCentered="1"/>
  <pageMargins left="0" right="0" top="0" bottom="0" header="0" footer="0"/>
  <pageSetup paperSize="8" orientation="landscape" r:id="rId1"/>
  <headerFooter alignWithMargins="0"/>
  <ignoredErrors>
    <ignoredError sqref="E30 I30"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pageSetUpPr fitToPage="1"/>
  </sheetPr>
  <dimension ref="A1:R81"/>
  <sheetViews>
    <sheetView showGridLines="0" view="pageBreakPreview" zoomScale="85" zoomScaleNormal="90" zoomScaleSheetLayoutView="85" workbookViewId="0">
      <pane xSplit="2" topLeftCell="C1" activePane="topRight" state="frozen"/>
      <selection activeCell="M28" sqref="M28"/>
      <selection pane="topRight" activeCell="F17" sqref="F17"/>
    </sheetView>
  </sheetViews>
  <sheetFormatPr defaultColWidth="9.140625" defaultRowHeight="15" customHeight="1" x14ac:dyDescent="0.2"/>
  <cols>
    <col min="1" max="1" width="2.42578125" style="20" customWidth="1"/>
    <col min="2" max="2" width="61.42578125" style="20" customWidth="1"/>
    <col min="3" max="12" width="14.5703125" style="22" customWidth="1"/>
    <col min="13" max="13" width="2.5703125" style="20" customWidth="1"/>
    <col min="14" max="16384" width="9.140625" style="20"/>
  </cols>
  <sheetData>
    <row r="1" spans="1:17" s="23" customFormat="1" ht="15.75" customHeight="1" x14ac:dyDescent="0.35">
      <c r="B1" s="481"/>
      <c r="C1" s="481"/>
      <c r="D1" s="481"/>
      <c r="E1" s="481"/>
      <c r="F1" s="481"/>
      <c r="G1" s="481"/>
      <c r="H1" s="481"/>
      <c r="I1" s="481"/>
      <c r="J1" s="481"/>
      <c r="K1" s="481"/>
      <c r="L1" s="481"/>
    </row>
    <row r="2" spans="1:17" s="23" customFormat="1" ht="15.75" customHeight="1" x14ac:dyDescent="0.35">
      <c r="B2" s="481"/>
      <c r="C2" s="506"/>
      <c r="D2" s="506"/>
      <c r="E2" s="506"/>
      <c r="F2" s="506"/>
      <c r="G2" s="506"/>
      <c r="H2" s="506"/>
      <c r="I2" s="506"/>
      <c r="J2" s="506"/>
      <c r="K2" s="506"/>
      <c r="L2" s="482" t="s">
        <v>18</v>
      </c>
    </row>
    <row r="3" spans="1:17" s="23" customFormat="1" ht="15.75" customHeight="1" x14ac:dyDescent="0.35">
      <c r="B3" s="481"/>
      <c r="C3" s="481"/>
      <c r="D3" s="481"/>
      <c r="E3" s="481"/>
      <c r="F3" s="481"/>
      <c r="G3" s="481"/>
      <c r="H3" s="481"/>
      <c r="I3" s="481"/>
      <c r="J3" s="481"/>
      <c r="K3" s="481"/>
      <c r="L3" s="481"/>
    </row>
    <row r="4" spans="1:17" s="24" customFormat="1" ht="18" customHeight="1" x14ac:dyDescent="0.3">
      <c r="B4" s="483"/>
      <c r="C4" s="483"/>
      <c r="D4" s="483"/>
      <c r="E4" s="483"/>
      <c r="F4" s="483"/>
      <c r="G4" s="483"/>
      <c r="H4" s="483"/>
      <c r="I4" s="483"/>
      <c r="J4" s="483"/>
      <c r="K4" s="483"/>
      <c r="L4" s="483"/>
    </row>
    <row r="5" spans="1:17" ht="28.5" x14ac:dyDescent="0.2">
      <c r="A5" s="16"/>
      <c r="B5" s="1091" t="s">
        <v>26</v>
      </c>
      <c r="C5" s="1091"/>
      <c r="D5" s="1091"/>
      <c r="E5" s="1091"/>
      <c r="F5" s="1091"/>
      <c r="G5" s="1091"/>
      <c r="H5" s="1091"/>
      <c r="I5" s="1091"/>
      <c r="J5" s="1091"/>
      <c r="K5" s="1091"/>
      <c r="L5" s="1091"/>
    </row>
    <row r="6" spans="1:17" ht="9" customHeight="1" x14ac:dyDescent="0.2">
      <c r="A6" s="16"/>
      <c r="B6" s="117"/>
      <c r="C6" s="117"/>
      <c r="D6" s="117"/>
      <c r="E6" s="117"/>
      <c r="F6" s="117"/>
      <c r="G6" s="117"/>
      <c r="H6" s="117"/>
      <c r="I6" s="117"/>
      <c r="J6" s="117"/>
      <c r="K6" s="117"/>
      <c r="L6" s="117"/>
    </row>
    <row r="7" spans="1:17" ht="11.25" customHeight="1" x14ac:dyDescent="0.2">
      <c r="A7" s="18"/>
      <c r="B7" s="438"/>
      <c r="C7" s="438"/>
      <c r="D7" s="438"/>
      <c r="E7" s="438"/>
      <c r="F7" s="438"/>
      <c r="G7" s="438"/>
      <c r="H7" s="438"/>
      <c r="I7" s="438"/>
      <c r="J7" s="438"/>
      <c r="K7" s="438"/>
      <c r="L7" s="416"/>
    </row>
    <row r="8" spans="1:17" s="23" customFormat="1" ht="11.25" customHeight="1" x14ac:dyDescent="0.35">
      <c r="B8" s="481"/>
      <c r="C8" s="484"/>
      <c r="D8" s="484"/>
      <c r="E8" s="484"/>
      <c r="F8" s="484"/>
      <c r="G8" s="484"/>
      <c r="H8" s="484"/>
      <c r="I8" s="484"/>
      <c r="J8" s="484"/>
      <c r="K8" s="484"/>
      <c r="L8" s="513"/>
    </row>
    <row r="9" spans="1:17" s="23" customFormat="1" ht="28.5" customHeight="1" x14ac:dyDescent="0.25">
      <c r="B9" s="491" t="s">
        <v>22</v>
      </c>
      <c r="C9" s="492">
        <v>45382</v>
      </c>
      <c r="D9" s="492">
        <v>45473</v>
      </c>
      <c r="E9" s="492">
        <v>45565</v>
      </c>
      <c r="F9" s="492">
        <v>45657</v>
      </c>
      <c r="G9" s="492">
        <v>45747</v>
      </c>
      <c r="H9" s="492">
        <v>45838</v>
      </c>
      <c r="I9" s="492">
        <v>45930</v>
      </c>
      <c r="J9" s="492">
        <v>46022</v>
      </c>
      <c r="K9" s="505">
        <v>46112</v>
      </c>
      <c r="L9" s="493">
        <v>46203</v>
      </c>
    </row>
    <row r="10" spans="1:17" s="25" customFormat="1" ht="20.25" customHeight="1" x14ac:dyDescent="0.35">
      <c r="B10" s="494" t="s">
        <v>228</v>
      </c>
      <c r="C10" s="488"/>
      <c r="D10" s="495"/>
      <c r="E10" s="495"/>
      <c r="F10" s="495"/>
      <c r="G10" s="495"/>
      <c r="H10" s="495"/>
      <c r="I10" s="495"/>
      <c r="J10" s="495"/>
      <c r="K10" s="961"/>
      <c r="L10" s="496"/>
    </row>
    <row r="11" spans="1:17" s="25" customFormat="1" ht="20.25" customHeight="1" x14ac:dyDescent="0.35">
      <c r="B11" s="497" t="s">
        <v>229</v>
      </c>
      <c r="C11" s="488">
        <v>29104.34764885002</v>
      </c>
      <c r="D11" s="495">
        <v>30260.114412570001</v>
      </c>
      <c r="E11" s="495">
        <v>30860.566190650046</v>
      </c>
      <c r="F11" s="495">
        <v>32406.701741850011</v>
      </c>
      <c r="G11" s="495">
        <v>33503.642211149971</v>
      </c>
      <c r="H11" s="495">
        <v>34426.33107261001</v>
      </c>
      <c r="I11" s="495">
        <v>35152.693338639991</v>
      </c>
      <c r="J11" s="495">
        <v>35424.560349679967</v>
      </c>
      <c r="K11" s="961">
        <v>36636.763164709992</v>
      </c>
      <c r="L11" s="496">
        <v>36968.621961760087</v>
      </c>
      <c r="O11" s="48"/>
    </row>
    <row r="12" spans="1:17" s="25" customFormat="1" ht="20.25" customHeight="1" x14ac:dyDescent="0.35">
      <c r="B12" s="498" t="s">
        <v>144</v>
      </c>
      <c r="C12" s="489">
        <v>5902.6959318857143</v>
      </c>
      <c r="D12" s="499">
        <v>5848.6639154404074</v>
      </c>
      <c r="E12" s="499">
        <v>5787.4663144752458</v>
      </c>
      <c r="F12" s="499">
        <v>5721.6914667183264</v>
      </c>
      <c r="G12" s="499">
        <v>5656.0063548559601</v>
      </c>
      <c r="H12" s="499">
        <v>5572.9545994468053</v>
      </c>
      <c r="I12" s="499">
        <v>5495.3634939712865</v>
      </c>
      <c r="J12" s="499">
        <v>5457.6334269657673</v>
      </c>
      <c r="K12" s="963">
        <v>5377.5140200029764</v>
      </c>
      <c r="L12" s="500">
        <v>5306.9041597838213</v>
      </c>
      <c r="O12" s="48"/>
      <c r="P12" s="61"/>
    </row>
    <row r="13" spans="1:17" s="25" customFormat="1" ht="20.25" customHeight="1" x14ac:dyDescent="0.35">
      <c r="B13" s="497" t="s">
        <v>435</v>
      </c>
      <c r="C13" s="488">
        <v>0</v>
      </c>
      <c r="D13" s="495">
        <v>0</v>
      </c>
      <c r="E13" s="495">
        <v>0</v>
      </c>
      <c r="F13" s="495">
        <v>919.36909000000003</v>
      </c>
      <c r="G13" s="495">
        <v>574</v>
      </c>
      <c r="H13" s="495">
        <v>0</v>
      </c>
      <c r="I13" s="495">
        <v>0</v>
      </c>
      <c r="J13" s="495">
        <v>801.49804900000004</v>
      </c>
      <c r="K13" s="961">
        <v>150</v>
      </c>
      <c r="L13" s="496">
        <v>945</v>
      </c>
      <c r="P13" s="48"/>
    </row>
    <row r="14" spans="1:17" s="25" customFormat="1" ht="20.25" customHeight="1" x14ac:dyDescent="0.35">
      <c r="B14" s="514" t="s">
        <v>34</v>
      </c>
      <c r="C14" s="489">
        <v>6425.0518737000284</v>
      </c>
      <c r="D14" s="499">
        <v>6420.1000731399954</v>
      </c>
      <c r="E14" s="499">
        <v>6420.897926210002</v>
      </c>
      <c r="F14" s="499">
        <v>6304.6838923501364</v>
      </c>
      <c r="G14" s="499">
        <v>6251.5761439099315</v>
      </c>
      <c r="H14" s="499">
        <v>6274.607995789911</v>
      </c>
      <c r="I14" s="499">
        <v>6318.8176813299715</v>
      </c>
      <c r="J14" s="499">
        <v>6417.0391611499854</v>
      </c>
      <c r="K14" s="963">
        <v>6447.0414393300189</v>
      </c>
      <c r="L14" s="500">
        <v>6484.7535111399848</v>
      </c>
      <c r="O14" s="48"/>
      <c r="P14" s="48"/>
    </row>
    <row r="15" spans="1:17" s="25" customFormat="1" ht="20.25" customHeight="1" x14ac:dyDescent="0.35">
      <c r="B15" s="514" t="s">
        <v>35</v>
      </c>
      <c r="C15" s="489">
        <v>1668.6362921200216</v>
      </c>
      <c r="D15" s="499">
        <v>1718.3245322399969</v>
      </c>
      <c r="E15" s="499">
        <v>1754.7797457799829</v>
      </c>
      <c r="F15" s="499">
        <v>1794.6513429899824</v>
      </c>
      <c r="G15" s="499">
        <v>1776.6730569699971</v>
      </c>
      <c r="H15" s="499">
        <v>1840.7506635299808</v>
      </c>
      <c r="I15" s="499">
        <v>1887.754411049993</v>
      </c>
      <c r="J15" s="499">
        <v>1850.2390908299794</v>
      </c>
      <c r="K15" s="963">
        <v>1859.0926979699841</v>
      </c>
      <c r="L15" s="500">
        <v>1911.4850211899734</v>
      </c>
      <c r="O15" s="48"/>
    </row>
    <row r="16" spans="1:17" s="25" customFormat="1" ht="20.25" customHeight="1" x14ac:dyDescent="0.35">
      <c r="B16" s="515" t="s">
        <v>230</v>
      </c>
      <c r="C16" s="488">
        <f t="shared" ref="C16:H16" si="0">C14+C15</f>
        <v>8093.68816582005</v>
      </c>
      <c r="D16" s="495">
        <f t="shared" si="0"/>
        <v>8138.4246053799925</v>
      </c>
      <c r="E16" s="495">
        <f t="shared" si="0"/>
        <v>8175.6776719899844</v>
      </c>
      <c r="F16" s="495">
        <f t="shared" si="0"/>
        <v>8099.3352353401187</v>
      </c>
      <c r="G16" s="495">
        <f t="shared" si="0"/>
        <v>8028.249200879929</v>
      </c>
      <c r="H16" s="495">
        <f t="shared" si="0"/>
        <v>8115.3586593198916</v>
      </c>
      <c r="I16" s="495">
        <f t="shared" ref="I16" si="1">I14+I15</f>
        <v>8206.5720923799636</v>
      </c>
      <c r="J16" s="495">
        <f t="shared" ref="J16" si="2">J14+J15</f>
        <v>8267.2782519799657</v>
      </c>
      <c r="K16" s="961">
        <f t="shared" ref="K16:L16" si="3">K14+K15</f>
        <v>8306.1341373000032</v>
      </c>
      <c r="L16" s="496">
        <f t="shared" si="3"/>
        <v>8396.2385323299586</v>
      </c>
      <c r="O16" s="48"/>
      <c r="Q16" s="48"/>
    </row>
    <row r="17" spans="2:18" s="25" customFormat="1" ht="20.25" customHeight="1" x14ac:dyDescent="0.35">
      <c r="B17" s="515" t="s">
        <v>231</v>
      </c>
      <c r="C17" s="488">
        <f t="shared" ref="C17:H17" si="4">C11+C13+C16</f>
        <v>37198.035814670067</v>
      </c>
      <c r="D17" s="495">
        <f t="shared" si="4"/>
        <v>38398.539017949995</v>
      </c>
      <c r="E17" s="495">
        <f t="shared" si="4"/>
        <v>39036.243862640033</v>
      </c>
      <c r="F17" s="495">
        <f>F11+F13+F16</f>
        <v>41425.406067190132</v>
      </c>
      <c r="G17" s="495">
        <f t="shared" si="4"/>
        <v>42105.891412029901</v>
      </c>
      <c r="H17" s="495">
        <f t="shared" si="4"/>
        <v>42541.689731929902</v>
      </c>
      <c r="I17" s="495">
        <f>I11+I13+I16</f>
        <v>43359.265431019958</v>
      </c>
      <c r="J17" s="495">
        <f>J11+J13+J16</f>
        <v>44493.336650659934</v>
      </c>
      <c r="K17" s="961">
        <f>K11+K13+K16</f>
        <v>45092.897302009995</v>
      </c>
      <c r="L17" s="496">
        <f>L11+L13+L16</f>
        <v>46309.860494090048</v>
      </c>
      <c r="O17" s="48"/>
      <c r="P17" s="48"/>
      <c r="Q17" s="48"/>
    </row>
    <row r="18" spans="2:18" s="25" customFormat="1" ht="20.25" customHeight="1" x14ac:dyDescent="0.35">
      <c r="B18" s="497"/>
      <c r="C18" s="488"/>
      <c r="D18" s="495"/>
      <c r="E18" s="495"/>
      <c r="F18" s="495"/>
      <c r="G18" s="495"/>
      <c r="H18" s="495"/>
      <c r="I18" s="495"/>
      <c r="J18" s="495"/>
      <c r="K18" s="961"/>
      <c r="L18" s="496"/>
      <c r="O18" s="48"/>
      <c r="P18" s="48"/>
      <c r="Q18" s="48"/>
      <c r="R18" s="48"/>
    </row>
    <row r="19" spans="2:18" s="25" customFormat="1" ht="20.25" customHeight="1" x14ac:dyDescent="0.35">
      <c r="B19" s="494" t="s">
        <v>232</v>
      </c>
      <c r="C19" s="488"/>
      <c r="D19" s="495"/>
      <c r="E19" s="495"/>
      <c r="F19" s="495"/>
      <c r="G19" s="495"/>
      <c r="H19" s="495"/>
      <c r="I19" s="495"/>
      <c r="J19" s="495"/>
      <c r="K19" s="961"/>
      <c r="L19" s="496"/>
      <c r="R19" s="48"/>
    </row>
    <row r="20" spans="2:18" s="25" customFormat="1" ht="20.25" customHeight="1" x14ac:dyDescent="0.35">
      <c r="B20" s="497" t="s">
        <v>229</v>
      </c>
      <c r="C20" s="488">
        <v>665.6129204099999</v>
      </c>
      <c r="D20" s="495">
        <v>670.83578849999969</v>
      </c>
      <c r="E20" s="495">
        <v>661.12408364000009</v>
      </c>
      <c r="F20" s="495">
        <v>526.84204563000014</v>
      </c>
      <c r="G20" s="495">
        <v>534.04137408999986</v>
      </c>
      <c r="H20" s="495">
        <v>539.45659596999974</v>
      </c>
      <c r="I20" s="495">
        <v>522.09336312999994</v>
      </c>
      <c r="J20" s="495">
        <v>396.12840611000013</v>
      </c>
      <c r="K20" s="961">
        <v>417.41289866000022</v>
      </c>
      <c r="L20" s="496">
        <v>416.26575897999976</v>
      </c>
      <c r="O20" s="48"/>
    </row>
    <row r="21" spans="2:18" s="25" customFormat="1" ht="20.25" customHeight="1" x14ac:dyDescent="0.35">
      <c r="B21" s="498" t="s">
        <v>28</v>
      </c>
      <c r="C21" s="489">
        <v>158.02156826000004</v>
      </c>
      <c r="D21" s="499">
        <v>186.75315023999994</v>
      </c>
      <c r="E21" s="499">
        <v>197.04557856</v>
      </c>
      <c r="F21" s="499">
        <v>137.09263193300001</v>
      </c>
      <c r="G21" s="499">
        <v>161.63114463999997</v>
      </c>
      <c r="H21" s="499">
        <v>166.12066728999991</v>
      </c>
      <c r="I21" s="499">
        <v>175.77849965999999</v>
      </c>
      <c r="J21" s="499">
        <v>173.39973996000035</v>
      </c>
      <c r="K21" s="963">
        <v>183.95095891000017</v>
      </c>
      <c r="L21" s="500">
        <v>187.8854621400001</v>
      </c>
      <c r="O21" s="48"/>
    </row>
    <row r="22" spans="2:18" s="25" customFormat="1" ht="20.25" customHeight="1" x14ac:dyDescent="0.35">
      <c r="B22" s="498" t="s">
        <v>29</v>
      </c>
      <c r="C22" s="489">
        <v>51.717519379999992</v>
      </c>
      <c r="D22" s="499">
        <v>63.854707859999991</v>
      </c>
      <c r="E22" s="499">
        <v>72.957795569999988</v>
      </c>
      <c r="F22" s="499">
        <v>53.499823410000012</v>
      </c>
      <c r="G22" s="499">
        <v>66.503563290000002</v>
      </c>
      <c r="H22" s="499">
        <v>74.15329887</v>
      </c>
      <c r="I22" s="499">
        <v>80.106555870000008</v>
      </c>
      <c r="J22" s="499">
        <v>83.253402729999905</v>
      </c>
      <c r="K22" s="963">
        <v>90.943721799999921</v>
      </c>
      <c r="L22" s="500">
        <v>95.917629379999966</v>
      </c>
      <c r="O22" s="48"/>
    </row>
    <row r="23" spans="2:18" s="25" customFormat="1" ht="20.25" customHeight="1" x14ac:dyDescent="0.35">
      <c r="B23" s="497" t="s">
        <v>233</v>
      </c>
      <c r="C23" s="488">
        <f t="shared" ref="C23:H23" si="5">C21+C22</f>
        <v>209.73908764000004</v>
      </c>
      <c r="D23" s="495">
        <f t="shared" si="5"/>
        <v>250.60785809999993</v>
      </c>
      <c r="E23" s="495">
        <f t="shared" si="5"/>
        <v>270.00337413</v>
      </c>
      <c r="F23" s="495">
        <f t="shared" si="5"/>
        <v>190.59245534300001</v>
      </c>
      <c r="G23" s="495">
        <f t="shared" si="5"/>
        <v>228.13470792999999</v>
      </c>
      <c r="H23" s="495">
        <f t="shared" si="5"/>
        <v>240.27396615999993</v>
      </c>
      <c r="I23" s="495">
        <f t="shared" ref="I23" si="6">I21+I22</f>
        <v>255.88505552999999</v>
      </c>
      <c r="J23" s="495">
        <f t="shared" ref="J23" si="7">J21+J22</f>
        <v>256.65314269000027</v>
      </c>
      <c r="K23" s="961">
        <f t="shared" ref="K23:L23" si="8">K21+K22</f>
        <v>274.8946807100001</v>
      </c>
      <c r="L23" s="496">
        <f t="shared" si="8"/>
        <v>283.80309152000007</v>
      </c>
      <c r="O23" s="48"/>
    </row>
    <row r="24" spans="2:18" s="25" customFormat="1" ht="20.25" customHeight="1" x14ac:dyDescent="0.35">
      <c r="B24" s="497" t="s">
        <v>234</v>
      </c>
      <c r="C24" s="488">
        <f t="shared" ref="C24:H24" si="9">C20+C23</f>
        <v>875.35200804999999</v>
      </c>
      <c r="D24" s="495">
        <f t="shared" si="9"/>
        <v>921.44364659999962</v>
      </c>
      <c r="E24" s="495">
        <f t="shared" si="9"/>
        <v>931.12745777000009</v>
      </c>
      <c r="F24" s="495">
        <f t="shared" si="9"/>
        <v>717.43450097300013</v>
      </c>
      <c r="G24" s="495">
        <f t="shared" si="9"/>
        <v>762.17608201999985</v>
      </c>
      <c r="H24" s="495">
        <f t="shared" si="9"/>
        <v>779.73056212999973</v>
      </c>
      <c r="I24" s="495">
        <f t="shared" ref="I24" si="10">I20+I23</f>
        <v>777.97841865999999</v>
      </c>
      <c r="J24" s="495">
        <f t="shared" ref="J24" si="11">J20+J23</f>
        <v>652.78154880000034</v>
      </c>
      <c r="K24" s="961">
        <f t="shared" ref="K24:L24" si="12">K20+K23</f>
        <v>692.30757937000033</v>
      </c>
      <c r="L24" s="496">
        <f t="shared" si="12"/>
        <v>700.06885049999983</v>
      </c>
      <c r="O24" s="48"/>
    </row>
    <row r="25" spans="2:18" s="25" customFormat="1" ht="20.25" customHeight="1" x14ac:dyDescent="0.35">
      <c r="B25" s="497"/>
      <c r="C25" s="488"/>
      <c r="D25" s="495"/>
      <c r="E25" s="495"/>
      <c r="F25" s="495"/>
      <c r="G25" s="495"/>
      <c r="H25" s="495"/>
      <c r="I25" s="495"/>
      <c r="J25" s="495"/>
      <c r="K25" s="961"/>
      <c r="L25" s="496"/>
    </row>
    <row r="26" spans="2:18" s="25" customFormat="1" ht="20.25" customHeight="1" x14ac:dyDescent="0.35">
      <c r="B26" s="494" t="s">
        <v>46</v>
      </c>
      <c r="C26" s="488"/>
      <c r="D26" s="495"/>
      <c r="E26" s="495"/>
      <c r="F26" s="495"/>
      <c r="G26" s="495"/>
      <c r="H26" s="495"/>
      <c r="I26" s="495"/>
      <c r="J26" s="495"/>
      <c r="K26" s="961"/>
      <c r="L26" s="496"/>
    </row>
    <row r="27" spans="2:18" s="25" customFormat="1" ht="20.25" customHeight="1" x14ac:dyDescent="0.35">
      <c r="B27" s="497" t="s">
        <v>229</v>
      </c>
      <c r="C27" s="488">
        <v>965.49531574999946</v>
      </c>
      <c r="D27" s="495">
        <v>892.738528580001</v>
      </c>
      <c r="E27" s="495">
        <v>867.49356755999884</v>
      </c>
      <c r="F27" s="495">
        <v>790.63566582000078</v>
      </c>
      <c r="G27" s="495">
        <v>782.73353346999954</v>
      </c>
      <c r="H27" s="495">
        <v>759.26705386000026</v>
      </c>
      <c r="I27" s="495">
        <v>749.93251011000029</v>
      </c>
      <c r="J27" s="495">
        <v>536.68013838999991</v>
      </c>
      <c r="K27" s="961">
        <v>547.60542050999948</v>
      </c>
      <c r="L27" s="496">
        <v>607.02645860000041</v>
      </c>
      <c r="O27" s="751"/>
      <c r="P27" s="751"/>
    </row>
    <row r="28" spans="2:18" s="25" customFormat="1" ht="20.25" customHeight="1" x14ac:dyDescent="0.35">
      <c r="B28" s="498" t="s">
        <v>481</v>
      </c>
      <c r="C28" s="489">
        <v>263.86466247000004</v>
      </c>
      <c r="D28" s="499">
        <v>287.45836180000003</v>
      </c>
      <c r="E28" s="499">
        <v>300.87292066000009</v>
      </c>
      <c r="F28" s="499">
        <v>207.24026387999976</v>
      </c>
      <c r="G28" s="499">
        <v>231.47665922999977</v>
      </c>
      <c r="H28" s="499">
        <v>236.87368235999992</v>
      </c>
      <c r="I28" s="499">
        <v>242.21005769999994</v>
      </c>
      <c r="J28" s="499">
        <v>260.38509698000007</v>
      </c>
      <c r="K28" s="963">
        <v>274.55723756000043</v>
      </c>
      <c r="L28" s="500">
        <v>288.60529520000011</v>
      </c>
      <c r="O28" s="751"/>
      <c r="P28" s="751"/>
    </row>
    <row r="29" spans="2:18" s="25" customFormat="1" ht="20.25" customHeight="1" x14ac:dyDescent="0.35">
      <c r="B29" s="498" t="s">
        <v>29</v>
      </c>
      <c r="C29" s="489">
        <v>73.282378920000014</v>
      </c>
      <c r="D29" s="499">
        <v>83.310257430000007</v>
      </c>
      <c r="E29" s="499">
        <v>93.471616549999965</v>
      </c>
      <c r="F29" s="499">
        <v>70.115875700000004</v>
      </c>
      <c r="G29" s="499">
        <v>82.936679249999969</v>
      </c>
      <c r="H29" s="499">
        <v>90.077340829999955</v>
      </c>
      <c r="I29" s="499">
        <v>96.23565817000005</v>
      </c>
      <c r="J29" s="499">
        <v>101.80194143999989</v>
      </c>
      <c r="K29" s="963">
        <v>107.50200729000004</v>
      </c>
      <c r="L29" s="500">
        <v>115.57860902999994</v>
      </c>
      <c r="O29" s="751"/>
      <c r="P29" s="751"/>
    </row>
    <row r="30" spans="2:18" s="25" customFormat="1" ht="20.25" customHeight="1" x14ac:dyDescent="0.35">
      <c r="B30" s="497" t="s">
        <v>233</v>
      </c>
      <c r="C30" s="488">
        <f t="shared" ref="C30:H30" si="13">C28+C29</f>
        <v>337.14704139000003</v>
      </c>
      <c r="D30" s="495">
        <f t="shared" si="13"/>
        <v>370.76861923000001</v>
      </c>
      <c r="E30" s="495">
        <f t="shared" si="13"/>
        <v>394.34453721000006</v>
      </c>
      <c r="F30" s="495">
        <f t="shared" si="13"/>
        <v>277.35613957999976</v>
      </c>
      <c r="G30" s="495">
        <f t="shared" si="13"/>
        <v>314.41333847999977</v>
      </c>
      <c r="H30" s="495">
        <f t="shared" si="13"/>
        <v>326.95102318999989</v>
      </c>
      <c r="I30" s="495">
        <f t="shared" ref="I30" si="14">I28+I29</f>
        <v>338.44571586999996</v>
      </c>
      <c r="J30" s="495">
        <f t="shared" ref="J30" si="15">J28+J29</f>
        <v>362.18703841999996</v>
      </c>
      <c r="K30" s="961">
        <f t="shared" ref="K30:L30" si="16">K28+K29</f>
        <v>382.05924485000048</v>
      </c>
      <c r="L30" s="496">
        <f t="shared" si="16"/>
        <v>404.18390423000005</v>
      </c>
      <c r="O30" s="751"/>
      <c r="P30" s="751"/>
    </row>
    <row r="31" spans="2:18" s="25" customFormat="1" ht="20.25" customHeight="1" x14ac:dyDescent="0.35">
      <c r="B31" s="497" t="s">
        <v>234</v>
      </c>
      <c r="C31" s="488">
        <f t="shared" ref="C31:H31" si="17">C27+C30</f>
        <v>1302.6423571399996</v>
      </c>
      <c r="D31" s="495">
        <f t="shared" si="17"/>
        <v>1263.507147810001</v>
      </c>
      <c r="E31" s="495">
        <f t="shared" si="17"/>
        <v>1261.8381047699988</v>
      </c>
      <c r="F31" s="495">
        <f t="shared" si="17"/>
        <v>1067.9918054000004</v>
      </c>
      <c r="G31" s="495">
        <f t="shared" si="17"/>
        <v>1097.1468719499994</v>
      </c>
      <c r="H31" s="495">
        <f t="shared" si="17"/>
        <v>1086.2180770500001</v>
      </c>
      <c r="I31" s="495">
        <f>I27+I30</f>
        <v>1088.3782259800003</v>
      </c>
      <c r="J31" s="495">
        <f>J27+J30</f>
        <v>898.86717680999982</v>
      </c>
      <c r="K31" s="961">
        <f>K27+K30</f>
        <v>929.66466535999996</v>
      </c>
      <c r="L31" s="496">
        <f>L27+L30</f>
        <v>1011.2103628300005</v>
      </c>
      <c r="O31" s="751"/>
      <c r="P31" s="751"/>
    </row>
    <row r="32" spans="2:18" s="25" customFormat="1" ht="20.25" customHeight="1" x14ac:dyDescent="0.35">
      <c r="B32" s="497"/>
      <c r="C32" s="488"/>
      <c r="D32" s="495"/>
      <c r="E32" s="495"/>
      <c r="F32" s="495"/>
      <c r="G32" s="495"/>
      <c r="H32" s="495"/>
      <c r="I32" s="495"/>
      <c r="J32" s="495"/>
      <c r="K32" s="961"/>
      <c r="L32" s="496"/>
    </row>
    <row r="33" spans="2:15" s="25" customFormat="1" ht="20.25" hidden="1" customHeight="1" x14ac:dyDescent="0.35">
      <c r="B33" s="497"/>
      <c r="C33" s="488"/>
      <c r="D33" s="495"/>
      <c r="E33" s="495"/>
      <c r="F33" s="495"/>
      <c r="G33" s="495"/>
      <c r="H33" s="495"/>
      <c r="I33" s="495"/>
      <c r="J33" s="495"/>
      <c r="K33" s="961"/>
      <c r="L33" s="496"/>
    </row>
    <row r="34" spans="2:15" s="25" customFormat="1" ht="20.25" hidden="1" customHeight="1" x14ac:dyDescent="0.35">
      <c r="B34" s="497"/>
      <c r="C34" s="488"/>
      <c r="D34" s="495"/>
      <c r="E34" s="495"/>
      <c r="F34" s="495"/>
      <c r="G34" s="495"/>
      <c r="H34" s="495"/>
      <c r="I34" s="495"/>
      <c r="J34" s="495"/>
      <c r="K34" s="961"/>
      <c r="L34" s="496"/>
    </row>
    <row r="35" spans="2:15" s="25" customFormat="1" ht="20.25" customHeight="1" x14ac:dyDescent="0.35">
      <c r="B35" s="494" t="s">
        <v>30</v>
      </c>
      <c r="C35" s="488"/>
      <c r="D35" s="495"/>
      <c r="E35" s="495"/>
      <c r="F35" s="495"/>
      <c r="G35" s="495"/>
      <c r="H35" s="495"/>
      <c r="I35" s="495"/>
      <c r="J35" s="495"/>
      <c r="K35" s="961"/>
      <c r="L35" s="496"/>
    </row>
    <row r="36" spans="2:15" s="25" customFormat="1" ht="21" customHeight="1" x14ac:dyDescent="0.35">
      <c r="B36" s="497" t="s">
        <v>229</v>
      </c>
      <c r="C36" s="488">
        <v>656.85700860117151</v>
      </c>
      <c r="D36" s="495">
        <v>609.20935852408843</v>
      </c>
      <c r="E36" s="495">
        <v>622.1248495711111</v>
      </c>
      <c r="F36" s="495">
        <v>565.44983304000004</v>
      </c>
      <c r="G36" s="495">
        <v>557.13940649055905</v>
      </c>
      <c r="H36" s="495">
        <v>543.02104174999988</v>
      </c>
      <c r="I36" s="495">
        <v>543.61510019674643</v>
      </c>
      <c r="J36" s="495">
        <v>403.80074195999987</v>
      </c>
      <c r="K36" s="961">
        <v>418.51972791999992</v>
      </c>
      <c r="L36" s="496">
        <v>472.27545931942456</v>
      </c>
      <c r="O36" s="48"/>
    </row>
    <row r="37" spans="2:15" s="25" customFormat="1" ht="21" customHeight="1" x14ac:dyDescent="0.35">
      <c r="B37" s="498" t="s">
        <v>28</v>
      </c>
      <c r="C37" s="489">
        <v>43.512418448261407</v>
      </c>
      <c r="D37" s="499">
        <v>45.713071716575037</v>
      </c>
      <c r="E37" s="499">
        <v>55.936792924692575</v>
      </c>
      <c r="F37" s="499">
        <v>42.512353659999995</v>
      </c>
      <c r="G37" s="499">
        <v>54.841405027930257</v>
      </c>
      <c r="H37" s="499">
        <v>98.731506040000014</v>
      </c>
      <c r="I37" s="499">
        <v>147.06504559067182</v>
      </c>
      <c r="J37" s="499">
        <v>213.92949686</v>
      </c>
      <c r="K37" s="963">
        <v>212.50153093</v>
      </c>
      <c r="L37" s="500">
        <v>201.13426229229174</v>
      </c>
      <c r="O37" s="48"/>
    </row>
    <row r="38" spans="2:15" s="25" customFormat="1" ht="21" customHeight="1" x14ac:dyDescent="0.35">
      <c r="B38" s="498" t="s">
        <v>29</v>
      </c>
      <c r="C38" s="489">
        <v>83.5766080267787</v>
      </c>
      <c r="D38" s="499">
        <v>88.190032037026569</v>
      </c>
      <c r="E38" s="499">
        <v>96.279492336131057</v>
      </c>
      <c r="F38" s="499">
        <v>83.134338650000004</v>
      </c>
      <c r="G38" s="499">
        <v>92.698054589926684</v>
      </c>
      <c r="H38" s="499">
        <v>95.049417260000013</v>
      </c>
      <c r="I38" s="499">
        <v>100.1490509852617</v>
      </c>
      <c r="J38" s="499">
        <v>119.47433589999999</v>
      </c>
      <c r="K38" s="963">
        <v>126.62842087000001</v>
      </c>
      <c r="L38" s="500">
        <v>128.40091372264476</v>
      </c>
      <c r="O38" s="48"/>
    </row>
    <row r="39" spans="2:15" s="25" customFormat="1" ht="21" customHeight="1" x14ac:dyDescent="0.35">
      <c r="B39" s="497" t="s">
        <v>233</v>
      </c>
      <c r="C39" s="488">
        <v>127.0890264750401</v>
      </c>
      <c r="D39" s="495">
        <v>133.90310375360161</v>
      </c>
      <c r="E39" s="495">
        <v>152.21628526082364</v>
      </c>
      <c r="F39" s="495">
        <v>125.64669230999999</v>
      </c>
      <c r="G39" s="495">
        <v>147.53945961785695</v>
      </c>
      <c r="H39" s="495">
        <v>193.78092330000004</v>
      </c>
      <c r="I39" s="495">
        <v>247.21409657593352</v>
      </c>
      <c r="J39" s="495">
        <v>333.40383276</v>
      </c>
      <c r="K39" s="961">
        <v>339.12995180000001</v>
      </c>
      <c r="L39" s="496">
        <v>329.5351760149365</v>
      </c>
      <c r="O39" s="48"/>
    </row>
    <row r="40" spans="2:15" s="25" customFormat="1" ht="21" customHeight="1" x14ac:dyDescent="0.35">
      <c r="B40" s="497" t="s">
        <v>235</v>
      </c>
      <c r="C40" s="488">
        <f t="shared" ref="C40:H40" si="18">C36+C39</f>
        <v>783.94603507621161</v>
      </c>
      <c r="D40" s="495">
        <f t="shared" si="18"/>
        <v>743.11246227769004</v>
      </c>
      <c r="E40" s="495">
        <f t="shared" si="18"/>
        <v>774.34113483193471</v>
      </c>
      <c r="F40" s="495">
        <f t="shared" si="18"/>
        <v>691.09652535000009</v>
      </c>
      <c r="G40" s="495">
        <f t="shared" si="18"/>
        <v>704.67886610841606</v>
      </c>
      <c r="H40" s="495">
        <f t="shared" si="18"/>
        <v>736.80196504999992</v>
      </c>
      <c r="I40" s="495">
        <f>I36+I39</f>
        <v>790.82919677268001</v>
      </c>
      <c r="J40" s="495">
        <f>J36+J39</f>
        <v>737.20457471999987</v>
      </c>
      <c r="K40" s="961">
        <f>K36+K39</f>
        <v>757.64967971999999</v>
      </c>
      <c r="L40" s="496">
        <f>L36+L39</f>
        <v>801.810635334361</v>
      </c>
      <c r="O40" s="48"/>
    </row>
    <row r="41" spans="2:15" s="25" customFormat="1" ht="20.25" customHeight="1" x14ac:dyDescent="0.35">
      <c r="B41" s="497"/>
      <c r="C41" s="488"/>
      <c r="D41" s="495"/>
      <c r="E41" s="495"/>
      <c r="F41" s="495"/>
      <c r="G41" s="495"/>
      <c r="H41" s="495"/>
      <c r="I41" s="495"/>
      <c r="J41" s="495"/>
      <c r="K41" s="961"/>
      <c r="L41" s="496"/>
    </row>
    <row r="42" spans="2:15" s="25" customFormat="1" ht="20.25" customHeight="1" x14ac:dyDescent="0.35">
      <c r="B42" s="494" t="s">
        <v>236</v>
      </c>
      <c r="C42" s="488"/>
      <c r="D42" s="495"/>
      <c r="E42" s="495"/>
      <c r="F42" s="495"/>
      <c r="G42" s="495"/>
      <c r="H42" s="495"/>
      <c r="I42" s="495"/>
      <c r="J42" s="495"/>
      <c r="K42" s="961"/>
      <c r="L42" s="496"/>
    </row>
    <row r="43" spans="2:15" s="25" customFormat="1" ht="20.25" customHeight="1" x14ac:dyDescent="0.35">
      <c r="B43" s="497" t="s">
        <v>229</v>
      </c>
      <c r="C43" s="507">
        <f t="shared" ref="C43:H43" si="19">+C20/(C11+C13)</f>
        <v>2.2869879388494035E-2</v>
      </c>
      <c r="D43" s="508">
        <f t="shared" si="19"/>
        <v>2.2168977266699811E-2</v>
      </c>
      <c r="E43" s="508">
        <f t="shared" si="19"/>
        <v>2.1422940835100542E-2</v>
      </c>
      <c r="F43" s="508">
        <f t="shared" si="19"/>
        <v>1.5808705691355989E-2</v>
      </c>
      <c r="G43" s="508">
        <f t="shared" si="19"/>
        <v>1.5671312316180876E-2</v>
      </c>
      <c r="H43" s="508">
        <f t="shared" si="19"/>
        <v>1.5669883463102975E-2</v>
      </c>
      <c r="I43" s="508">
        <f t="shared" ref="I43" si="20">+I20/(I11+I13)</f>
        <v>1.4852158214463547E-2</v>
      </c>
      <c r="J43" s="508">
        <f t="shared" ref="J43" si="21">+J20/(J11+J13)</f>
        <v>1.0934902211840816E-2</v>
      </c>
      <c r="K43" s="671">
        <f t="shared" ref="K43:L43" si="22">+K20/(K11+K13)</f>
        <v>1.1346823225274402E-2</v>
      </c>
      <c r="L43" s="1029">
        <f t="shared" si="22"/>
        <v>1.0979319237815052E-2</v>
      </c>
    </row>
    <row r="44" spans="2:15" s="25" customFormat="1" ht="20.25" customHeight="1" x14ac:dyDescent="0.35">
      <c r="B44" s="498" t="s">
        <v>28</v>
      </c>
      <c r="C44" s="509">
        <f t="shared" ref="C44:H44" si="23">+C21/C14</f>
        <v>2.4594598046256601E-2</v>
      </c>
      <c r="D44" s="510">
        <f t="shared" si="23"/>
        <v>2.9088822310001965E-2</v>
      </c>
      <c r="E44" s="510">
        <f t="shared" si="23"/>
        <v>3.0688165553241879E-2</v>
      </c>
      <c r="F44" s="510">
        <f t="shared" si="23"/>
        <v>2.1744568684774663E-2</v>
      </c>
      <c r="G44" s="510">
        <f t="shared" si="23"/>
        <v>2.585446308567407E-2</v>
      </c>
      <c r="H44" s="510">
        <f t="shared" si="23"/>
        <v>2.6475067032309001E-2</v>
      </c>
      <c r="I44" s="510">
        <f t="shared" ref="I44" si="24">+I21/I14</f>
        <v>2.7818257864816651E-2</v>
      </c>
      <c r="J44" s="510">
        <f t="shared" ref="J44" si="25">+J21/J14</f>
        <v>2.7021767454653605E-2</v>
      </c>
      <c r="K44" s="672">
        <f t="shared" ref="K44:L44" si="26">+K21/K14</f>
        <v>2.8532616183884259E-2</v>
      </c>
      <c r="L44" s="1030">
        <f t="shared" si="26"/>
        <v>2.8973416154867981E-2</v>
      </c>
    </row>
    <row r="45" spans="2:15" s="25" customFormat="1" ht="20.25" customHeight="1" x14ac:dyDescent="0.35">
      <c r="B45" s="498" t="s">
        <v>29</v>
      </c>
      <c r="C45" s="509">
        <f t="shared" ref="C45:H45" si="27">+C22/C15</f>
        <v>3.0993883822514903E-2</v>
      </c>
      <c r="D45" s="510">
        <f t="shared" si="27"/>
        <v>3.7161029050059247E-2</v>
      </c>
      <c r="E45" s="510">
        <f t="shared" si="27"/>
        <v>4.1576611392657115E-2</v>
      </c>
      <c r="F45" s="510">
        <f t="shared" si="27"/>
        <v>2.981070591732126E-2</v>
      </c>
      <c r="G45" s="510">
        <f t="shared" si="27"/>
        <v>3.7431514497899575E-2</v>
      </c>
      <c r="H45" s="510">
        <f t="shared" si="27"/>
        <v>4.0284271161308345E-2</v>
      </c>
      <c r="I45" s="510">
        <f t="shared" ref="I45" si="28">+I22/I15</f>
        <v>4.2434839723374675E-2</v>
      </c>
      <c r="J45" s="510">
        <f t="shared" ref="J45" si="29">+J22/J15</f>
        <v>4.4996024104459999E-2</v>
      </c>
      <c r="K45" s="672">
        <f t="shared" ref="K45:L45" si="30">+K22/K15</f>
        <v>4.8918336293453747E-2</v>
      </c>
      <c r="L45" s="1030">
        <f t="shared" si="30"/>
        <v>5.0179639555996899E-2</v>
      </c>
    </row>
    <row r="46" spans="2:15" s="25" customFormat="1" ht="20.25" customHeight="1" x14ac:dyDescent="0.35">
      <c r="B46" s="497" t="s">
        <v>233</v>
      </c>
      <c r="C46" s="507">
        <f t="shared" ref="C46:H46" si="31">+C23/C16</f>
        <v>2.5913907645433647E-2</v>
      </c>
      <c r="D46" s="508">
        <f t="shared" si="31"/>
        <v>3.0793165784730982E-2</v>
      </c>
      <c r="E46" s="508">
        <f t="shared" si="31"/>
        <v>3.3025198027930615E-2</v>
      </c>
      <c r="F46" s="508">
        <f t="shared" si="31"/>
        <v>2.3531864011676062E-2</v>
      </c>
      <c r="G46" s="508">
        <f t="shared" si="31"/>
        <v>2.8416495579757974E-2</v>
      </c>
      <c r="H46" s="508">
        <f t="shared" si="31"/>
        <v>2.9607313274326204E-2</v>
      </c>
      <c r="I46" s="508">
        <f t="shared" ref="I46" si="32">+I23/I16</f>
        <v>3.1180504192194518E-2</v>
      </c>
      <c r="J46" s="508">
        <f t="shared" ref="J46" si="33">+J23/J16</f>
        <v>3.1044454398100524E-2</v>
      </c>
      <c r="K46" s="671">
        <f t="shared" ref="K46:L46" si="34">+K23/K16</f>
        <v>3.3095381818545676E-2</v>
      </c>
      <c r="L46" s="1029">
        <f t="shared" si="34"/>
        <v>3.3801218298790354E-2</v>
      </c>
    </row>
    <row r="47" spans="2:15" s="25" customFormat="1" ht="20.25" customHeight="1" x14ac:dyDescent="0.35">
      <c r="B47" s="497" t="s">
        <v>235</v>
      </c>
      <c r="C47" s="507">
        <f t="shared" ref="C47:H47" si="35">+C24/(C17)</f>
        <v>2.3532210475069787E-2</v>
      </c>
      <c r="D47" s="508">
        <f t="shared" si="35"/>
        <v>2.3996841290478695E-2</v>
      </c>
      <c r="E47" s="508">
        <f t="shared" si="35"/>
        <v>2.3852895812579537E-2</v>
      </c>
      <c r="F47" s="508">
        <f t="shared" si="35"/>
        <v>1.7318707746868042E-2</v>
      </c>
      <c r="G47" s="508">
        <f t="shared" si="35"/>
        <v>1.8101411856162285E-2</v>
      </c>
      <c r="H47" s="508">
        <f t="shared" si="35"/>
        <v>1.832862227719104E-2</v>
      </c>
      <c r="I47" s="508">
        <f t="shared" ref="I47" si="36">+I24/(I17)</f>
        <v>1.7942610672168374E-2</v>
      </c>
      <c r="J47" s="508">
        <f t="shared" ref="J47" si="37">+J24/(J17)</f>
        <v>1.4671445163245993E-2</v>
      </c>
      <c r="K47" s="671">
        <f t="shared" ref="K47:L47" si="38">+K24/(K17)</f>
        <v>1.535291854797587E-2</v>
      </c>
      <c r="L47" s="1029">
        <f t="shared" si="38"/>
        <v>1.5117058074259173E-2</v>
      </c>
    </row>
    <row r="48" spans="2:15" s="25" customFormat="1" ht="20.25" customHeight="1" x14ac:dyDescent="0.35">
      <c r="B48" s="497"/>
      <c r="C48" s="488"/>
      <c r="D48" s="495"/>
      <c r="E48" s="495"/>
      <c r="F48" s="495"/>
      <c r="G48" s="495"/>
      <c r="H48" s="495"/>
      <c r="I48" s="495"/>
      <c r="J48" s="495"/>
      <c r="K48" s="961"/>
      <c r="L48" s="1031"/>
    </row>
    <row r="49" spans="2:12" s="25" customFormat="1" ht="20.25" customHeight="1" x14ac:dyDescent="0.35">
      <c r="B49" s="516" t="s">
        <v>45</v>
      </c>
      <c r="C49" s="507"/>
      <c r="D49" s="508"/>
      <c r="E49" s="508"/>
      <c r="F49" s="508"/>
      <c r="G49" s="508"/>
      <c r="H49" s="508"/>
      <c r="I49" s="508"/>
      <c r="J49" s="508"/>
      <c r="K49" s="671"/>
      <c r="L49" s="1029"/>
    </row>
    <row r="50" spans="2:12" s="25" customFormat="1" ht="20.25" customHeight="1" x14ac:dyDescent="0.35">
      <c r="B50" s="517" t="s">
        <v>229</v>
      </c>
      <c r="C50" s="507">
        <f t="shared" ref="C50:H50" si="39">+C27/(C11+C13)</f>
        <v>3.3173576930804305E-2</v>
      </c>
      <c r="D50" s="508">
        <f t="shared" si="39"/>
        <v>2.9502153111792561E-2</v>
      </c>
      <c r="E50" s="508">
        <f t="shared" si="39"/>
        <v>2.8110098894518241E-2</v>
      </c>
      <c r="F50" s="508">
        <f t="shared" si="39"/>
        <v>2.3724238894204819E-2</v>
      </c>
      <c r="G50" s="508">
        <f t="shared" si="39"/>
        <v>2.2969122353596827E-2</v>
      </c>
      <c r="H50" s="508">
        <f t="shared" si="39"/>
        <v>2.2054835069662188E-2</v>
      </c>
      <c r="I50" s="508">
        <f t="shared" ref="I50" si="40">+I27/(I11+I13)</f>
        <v>2.1333571879844304E-2</v>
      </c>
      <c r="J50" s="508">
        <f t="shared" ref="J50" si="41">+J27/(J11+J13)</f>
        <v>1.481475385711728E-2</v>
      </c>
      <c r="K50" s="671">
        <f t="shared" ref="K50:L50" si="42">+K27/(K11+K13)</f>
        <v>1.4885936499988787E-2</v>
      </c>
      <c r="L50" s="1029">
        <f t="shared" si="42"/>
        <v>1.6010774681781949E-2</v>
      </c>
    </row>
    <row r="51" spans="2:12" s="25" customFormat="1" ht="20.25" customHeight="1" x14ac:dyDescent="0.35">
      <c r="B51" s="518" t="s">
        <v>28</v>
      </c>
      <c r="C51" s="509">
        <f t="shared" ref="C51:H51" si="43">+C28/C14</f>
        <v>4.1068098383779568E-2</v>
      </c>
      <c r="D51" s="510">
        <f t="shared" si="43"/>
        <v>4.4774747827163938E-2</v>
      </c>
      <c r="E51" s="510">
        <f t="shared" si="43"/>
        <v>4.685838711620717E-2</v>
      </c>
      <c r="F51" s="510">
        <f t="shared" si="43"/>
        <v>3.2870841332974236E-2</v>
      </c>
      <c r="G51" s="510">
        <f t="shared" si="43"/>
        <v>3.7026927914090318E-2</v>
      </c>
      <c r="H51" s="510">
        <f t="shared" si="43"/>
        <v>3.7751152345921149E-2</v>
      </c>
      <c r="I51" s="510">
        <f t="shared" ref="I51" si="44">+I28/I14</f>
        <v>3.8331547120856332E-2</v>
      </c>
      <c r="J51" s="510">
        <f t="shared" ref="J51" si="45">+J28/J14</f>
        <v>4.0577140086104281E-2</v>
      </c>
      <c r="K51" s="672">
        <f t="shared" ref="K51:L51" si="46">+K28/K14</f>
        <v>4.2586547665890699E-2</v>
      </c>
      <c r="L51" s="1030">
        <f t="shared" si="46"/>
        <v>4.4505206667333277E-2</v>
      </c>
    </row>
    <row r="52" spans="2:12" s="25" customFormat="1" ht="20.25" customHeight="1" x14ac:dyDescent="0.35">
      <c r="B52" s="518" t="s">
        <v>29</v>
      </c>
      <c r="C52" s="509">
        <f t="shared" ref="C52:H52" si="47">+C29/C15</f>
        <v>4.3917526704932153E-2</v>
      </c>
      <c r="D52" s="510">
        <f t="shared" si="47"/>
        <v>4.8483424328114137E-2</v>
      </c>
      <c r="E52" s="510">
        <f t="shared" si="47"/>
        <v>5.3266865414184912E-2</v>
      </c>
      <c r="F52" s="510">
        <f t="shared" si="47"/>
        <v>3.906935794179571E-2</v>
      </c>
      <c r="G52" s="510">
        <f t="shared" si="47"/>
        <v>4.6680889837685272E-2</v>
      </c>
      <c r="H52" s="510">
        <f t="shared" si="47"/>
        <v>4.893511251396751E-2</v>
      </c>
      <c r="I52" s="510">
        <f t="shared" ref="I52" si="48">+I29/I15</f>
        <v>5.0978907852993735E-2</v>
      </c>
      <c r="J52" s="510">
        <f t="shared" ref="J52" si="49">+J29/J15</f>
        <v>5.5020965638734626E-2</v>
      </c>
      <c r="K52" s="672">
        <f t="shared" ref="K52:L52" si="50">+K29/K15</f>
        <v>5.7824984954965221E-2</v>
      </c>
      <c r="L52" s="1030">
        <f t="shared" si="50"/>
        <v>6.0465349060411566E-2</v>
      </c>
    </row>
    <row r="53" spans="2:12" s="25" customFormat="1" ht="20.25" customHeight="1" x14ac:dyDescent="0.35">
      <c r="B53" s="517" t="s">
        <v>233</v>
      </c>
      <c r="C53" s="507">
        <f t="shared" ref="C53:H53" si="51">+C30/C16</f>
        <v>4.1655551150807206E-2</v>
      </c>
      <c r="D53" s="508">
        <f t="shared" si="51"/>
        <v>4.5557787558159528E-2</v>
      </c>
      <c r="E53" s="508">
        <f t="shared" si="51"/>
        <v>4.8233865500964083E-2</v>
      </c>
      <c r="F53" s="508">
        <f t="shared" si="51"/>
        <v>3.4244309134137556E-2</v>
      </c>
      <c r="G53" s="508">
        <f t="shared" si="51"/>
        <v>3.916337555211151E-2</v>
      </c>
      <c r="H53" s="508">
        <f t="shared" si="51"/>
        <v>4.0287932661425968E-2</v>
      </c>
      <c r="I53" s="508">
        <f t="shared" ref="I53" si="52">+I30/I16</f>
        <v>4.1240814320543953E-2</v>
      </c>
      <c r="J53" s="508">
        <f t="shared" ref="J53" si="53">+J30/J16</f>
        <v>4.3809707062086395E-2</v>
      </c>
      <c r="K53" s="671">
        <f t="shared" ref="K53:L53" si="54">+K30/K16</f>
        <v>4.5997239935519858E-2</v>
      </c>
      <c r="L53" s="1029">
        <f t="shared" si="54"/>
        <v>4.8138687660394384E-2</v>
      </c>
    </row>
    <row r="54" spans="2:12" s="25" customFormat="1" ht="20.25" customHeight="1" x14ac:dyDescent="0.35">
      <c r="B54" s="517" t="s">
        <v>235</v>
      </c>
      <c r="C54" s="507">
        <f t="shared" ref="C54:H54" si="55">+C31/(C17)</f>
        <v>3.5019116698260362E-2</v>
      </c>
      <c r="D54" s="508">
        <f t="shared" si="55"/>
        <v>3.2905083894451168E-2</v>
      </c>
      <c r="E54" s="508">
        <f t="shared" si="55"/>
        <v>3.2324782814917595E-2</v>
      </c>
      <c r="F54" s="508">
        <f>+F31/(F17)</f>
        <v>2.5781082354817866E-2</v>
      </c>
      <c r="G54" s="508">
        <f t="shared" si="55"/>
        <v>2.6056849413631893E-2</v>
      </c>
      <c r="H54" s="508">
        <f t="shared" si="55"/>
        <v>2.5533026165501207E-2</v>
      </c>
      <c r="I54" s="508">
        <f>+I31/(I17)</f>
        <v>2.5101399093383991E-2</v>
      </c>
      <c r="J54" s="508">
        <f>+J31/(J17)</f>
        <v>2.0202287454129778E-2</v>
      </c>
      <c r="K54" s="671">
        <f>+K31/(K17)</f>
        <v>2.0616654084867608E-2</v>
      </c>
      <c r="L54" s="1029">
        <f>+L31/(L17)</f>
        <v>2.1835746254494734E-2</v>
      </c>
    </row>
    <row r="55" spans="2:12" s="25" customFormat="1" ht="20.25" customHeight="1" x14ac:dyDescent="0.35">
      <c r="B55" s="517"/>
      <c r="C55" s="507"/>
      <c r="D55" s="508"/>
      <c r="E55" s="508"/>
      <c r="F55" s="508"/>
      <c r="G55" s="508"/>
      <c r="H55" s="508"/>
      <c r="I55" s="508"/>
      <c r="J55" s="508"/>
      <c r="K55" s="671"/>
      <c r="L55" s="1029"/>
    </row>
    <row r="56" spans="2:12" s="25" customFormat="1" ht="20.25" customHeight="1" x14ac:dyDescent="0.35">
      <c r="B56" s="494" t="s">
        <v>32</v>
      </c>
      <c r="C56" s="488"/>
      <c r="D56" s="495"/>
      <c r="E56" s="495"/>
      <c r="F56" s="495"/>
      <c r="G56" s="495"/>
      <c r="H56" s="495"/>
      <c r="I56" s="495"/>
      <c r="J56" s="495"/>
      <c r="K56" s="961"/>
      <c r="L56" s="1031"/>
    </row>
    <row r="57" spans="2:12" s="25" customFormat="1" ht="20.25" customHeight="1" x14ac:dyDescent="0.35">
      <c r="B57" s="497" t="s">
        <v>229</v>
      </c>
      <c r="C57" s="507">
        <f t="shared" ref="C57:H57" si="56">+C36/(C11+C13)</f>
        <v>2.2569033895770051E-2</v>
      </c>
      <c r="D57" s="508">
        <f t="shared" si="56"/>
        <v>2.0132420856645006E-2</v>
      </c>
      <c r="E57" s="508">
        <f t="shared" si="56"/>
        <v>2.0159216967302395E-2</v>
      </c>
      <c r="F57" s="508">
        <f t="shared" si="56"/>
        <v>1.6967191718850781E-2</v>
      </c>
      <c r="G57" s="508">
        <f t="shared" si="56"/>
        <v>1.6349118376161213E-2</v>
      </c>
      <c r="H57" s="508">
        <f t="shared" si="56"/>
        <v>1.5773421820776998E-2</v>
      </c>
      <c r="I57" s="508">
        <f t="shared" ref="I57" si="57">+I36/(I11+I13)</f>
        <v>1.5464394007021999E-2</v>
      </c>
      <c r="J57" s="508">
        <f t="shared" ref="J57" si="58">+J36/(J11+J13)</f>
        <v>1.1146692734717002E-2</v>
      </c>
      <c r="K57" s="671">
        <f t="shared" ref="K57:L57" si="59">+K36/(K11+K13)</f>
        <v>1.1376910929784961E-2</v>
      </c>
      <c r="L57" s="1029">
        <f t="shared" si="59"/>
        <v>1.2456616774724517E-2</v>
      </c>
    </row>
    <row r="58" spans="2:12" s="25" customFormat="1" ht="20.25" customHeight="1" x14ac:dyDescent="0.35">
      <c r="B58" s="498" t="s">
        <v>28</v>
      </c>
      <c r="C58" s="509">
        <f t="shared" ref="C58:H58" si="60">+C37/C14</f>
        <v>6.7723061702229777E-3</v>
      </c>
      <c r="D58" s="510">
        <f t="shared" si="60"/>
        <v>7.1203051659313637E-3</v>
      </c>
      <c r="E58" s="510">
        <f t="shared" si="60"/>
        <v>8.7116776450158924E-3</v>
      </c>
      <c r="F58" s="510">
        <f t="shared" si="60"/>
        <v>6.7429794079894899E-3</v>
      </c>
      <c r="G58" s="510">
        <f t="shared" si="60"/>
        <v>8.7724125509300328E-3</v>
      </c>
      <c r="H58" s="510">
        <f t="shared" si="60"/>
        <v>1.5735087531563108E-2</v>
      </c>
      <c r="I58" s="510">
        <f t="shared" ref="I58" si="61">+I37/I14</f>
        <v>2.3274139721612901E-2</v>
      </c>
      <c r="J58" s="510">
        <f t="shared" ref="J58" si="62">+J37/J14</f>
        <v>3.3337726557003296E-2</v>
      </c>
      <c r="K58" s="672">
        <f t="shared" ref="K58:L58" si="63">+K37/K14</f>
        <v>3.2961092763207571E-2</v>
      </c>
      <c r="L58" s="1030">
        <f t="shared" si="63"/>
        <v>3.1016485352414486E-2</v>
      </c>
    </row>
    <row r="59" spans="2:12" s="25" customFormat="1" ht="20.25" customHeight="1" x14ac:dyDescent="0.35">
      <c r="B59" s="498" t="s">
        <v>29</v>
      </c>
      <c r="C59" s="509">
        <f t="shared" ref="C59:H59" si="64">+C38/C15</f>
        <v>5.0086773505683288E-2</v>
      </c>
      <c r="D59" s="510">
        <f t="shared" si="64"/>
        <v>5.1323268906638145E-2</v>
      </c>
      <c r="E59" s="510">
        <f t="shared" si="64"/>
        <v>5.4866995454939976E-2</v>
      </c>
      <c r="F59" s="510">
        <f t="shared" si="64"/>
        <v>4.6323392549047368E-2</v>
      </c>
      <c r="G59" s="510">
        <f t="shared" si="64"/>
        <v>5.2175077584627375E-2</v>
      </c>
      <c r="H59" s="510">
        <f t="shared" si="64"/>
        <v>5.1636225993652571E-2</v>
      </c>
      <c r="I59" s="510">
        <f t="shared" ref="I59" si="65">+I38/I15</f>
        <v>5.305194913016123E-2</v>
      </c>
      <c r="J59" s="510">
        <f t="shared" ref="J59" si="66">+J38/J15</f>
        <v>6.4572376884765872E-2</v>
      </c>
      <c r="K59" s="672">
        <f t="shared" ref="K59:L59" si="67">+K38/K15</f>
        <v>6.8113021479924332E-2</v>
      </c>
      <c r="L59" s="1030">
        <f t="shared" si="67"/>
        <v>6.7173382108278418E-2</v>
      </c>
    </row>
    <row r="60" spans="2:12" s="25" customFormat="1" ht="20.25" customHeight="1" x14ac:dyDescent="0.35">
      <c r="B60" s="497" t="s">
        <v>233</v>
      </c>
      <c r="C60" s="507">
        <f t="shared" ref="C60:H60" si="68">+C39/C16</f>
        <v>1.5702239062253702E-2</v>
      </c>
      <c r="D60" s="508">
        <f t="shared" si="68"/>
        <v>1.6453197055494442E-2</v>
      </c>
      <c r="E60" s="508">
        <f t="shared" si="68"/>
        <v>1.8618185717169271E-2</v>
      </c>
      <c r="F60" s="508">
        <f t="shared" si="68"/>
        <v>1.5513210486925062E-2</v>
      </c>
      <c r="G60" s="508">
        <f t="shared" si="68"/>
        <v>1.8377538604766531E-2</v>
      </c>
      <c r="H60" s="508">
        <f t="shared" si="68"/>
        <v>2.3878294408769835E-2</v>
      </c>
      <c r="I60" s="508">
        <f t="shared" ref="I60" si="69">+I39/I16</f>
        <v>3.0123917001287161E-2</v>
      </c>
      <c r="J60" s="508">
        <f t="shared" ref="J60" si="70">+J39/J16</f>
        <v>4.0328125242446229E-2</v>
      </c>
      <c r="K60" s="671">
        <f t="shared" ref="K60:L60" si="71">+K39/K16</f>
        <v>4.082885566187567E-2</v>
      </c>
      <c r="L60" s="1029">
        <f t="shared" si="71"/>
        <v>3.9247953085902905E-2</v>
      </c>
    </row>
    <row r="61" spans="2:12" s="25" customFormat="1" ht="20.25" customHeight="1" x14ac:dyDescent="0.35">
      <c r="B61" s="497" t="s">
        <v>235</v>
      </c>
      <c r="C61" s="507">
        <f t="shared" ref="C61:H61" si="72">+C40/C17</f>
        <v>2.1074930917912633E-2</v>
      </c>
      <c r="D61" s="508">
        <f t="shared" si="72"/>
        <v>1.9352623336276169E-2</v>
      </c>
      <c r="E61" s="508">
        <f t="shared" si="72"/>
        <v>1.9836466273667905E-2</v>
      </c>
      <c r="F61" s="508">
        <f t="shared" si="72"/>
        <v>1.6682914929767322E-2</v>
      </c>
      <c r="G61" s="508">
        <f t="shared" si="72"/>
        <v>1.6735873353510934E-2</v>
      </c>
      <c r="H61" s="508">
        <f t="shared" si="72"/>
        <v>1.7319527496271244E-2</v>
      </c>
      <c r="I61" s="508">
        <f t="shared" ref="I61" si="73">+I40/I17</f>
        <v>1.8238989727139318E-2</v>
      </c>
      <c r="J61" s="508">
        <f t="shared" ref="J61" si="74">+J40/J17</f>
        <v>1.6568875930977531E-2</v>
      </c>
      <c r="K61" s="671">
        <f t="shared" ref="K61:L61" si="75">+K40/K17</f>
        <v>1.6801973815202778E-2</v>
      </c>
      <c r="L61" s="1029">
        <f t="shared" si="75"/>
        <v>1.7314036941153951E-2</v>
      </c>
    </row>
    <row r="62" spans="2:12" s="25" customFormat="1" ht="20.25" customHeight="1" x14ac:dyDescent="0.35">
      <c r="B62" s="497"/>
      <c r="C62" s="488"/>
      <c r="D62" s="495"/>
      <c r="E62" s="495"/>
      <c r="F62" s="495"/>
      <c r="G62" s="495"/>
      <c r="H62" s="495"/>
      <c r="I62" s="495"/>
      <c r="J62" s="495"/>
      <c r="K62" s="961"/>
      <c r="L62" s="1031"/>
    </row>
    <row r="63" spans="2:12" s="25" customFormat="1" ht="20.25" customHeight="1" x14ac:dyDescent="0.35">
      <c r="B63" s="494" t="s">
        <v>31</v>
      </c>
      <c r="C63" s="488"/>
      <c r="D63" s="495"/>
      <c r="E63" s="495"/>
      <c r="F63" s="495"/>
      <c r="G63" s="495"/>
      <c r="H63" s="495"/>
      <c r="I63" s="495"/>
      <c r="J63" s="495"/>
      <c r="K63" s="961"/>
      <c r="L63" s="1031"/>
    </row>
    <row r="64" spans="2:12" s="25" customFormat="1" ht="20.25" customHeight="1" x14ac:dyDescent="0.35">
      <c r="B64" s="497" t="s">
        <v>229</v>
      </c>
      <c r="C64" s="507">
        <f t="shared" ref="C64:H64" si="76">+C36/C20</f>
        <v>0.98684533977580402</v>
      </c>
      <c r="D64" s="508">
        <f t="shared" si="76"/>
        <v>0.9081348505366581</v>
      </c>
      <c r="E64" s="508">
        <f t="shared" si="76"/>
        <v>0.94101071941870884</v>
      </c>
      <c r="F64" s="508">
        <f t="shared" si="76"/>
        <v>1.073281522859157</v>
      </c>
      <c r="G64" s="508">
        <f t="shared" si="76"/>
        <v>1.0432513912239814</v>
      </c>
      <c r="H64" s="508">
        <f t="shared" si="76"/>
        <v>1.0066074746450933</v>
      </c>
      <c r="I64" s="508">
        <f t="shared" ref="I64" si="77">+I36/I20</f>
        <v>1.0412220085268304</v>
      </c>
      <c r="J64" s="508">
        <f t="shared" ref="J64" si="78">+J36/J20</f>
        <v>1.0193683051547413</v>
      </c>
      <c r="K64" s="671">
        <f t="shared" ref="K64:L64" si="79">+K36/K20</f>
        <v>1.0026516412491155</v>
      </c>
      <c r="L64" s="1029">
        <f t="shared" si="79"/>
        <v>1.1345527445655599</v>
      </c>
    </row>
    <row r="65" spans="2:12" s="25" customFormat="1" ht="20.25" customHeight="1" x14ac:dyDescent="0.35">
      <c r="B65" s="498" t="s">
        <v>28</v>
      </c>
      <c r="C65" s="509">
        <f t="shared" ref="C65:G65" si="80">+C37/C21</f>
        <v>0.2753574649801504</v>
      </c>
      <c r="D65" s="510">
        <f t="shared" si="80"/>
        <v>0.24477804876559414</v>
      </c>
      <c r="E65" s="510">
        <f t="shared" si="80"/>
        <v>0.28387743248783393</v>
      </c>
      <c r="F65" s="510">
        <f t="shared" si="80"/>
        <v>0.3100994784371538</v>
      </c>
      <c r="G65" s="510">
        <f t="shared" si="80"/>
        <v>0.33929973799343049</v>
      </c>
      <c r="H65" s="510">
        <f>+H37/H21</f>
        <v>0.5943360790120269</v>
      </c>
      <c r="I65" s="510">
        <f t="shared" ref="I65" si="81">+I37/I21</f>
        <v>0.8366497943442045</v>
      </c>
      <c r="J65" s="510">
        <f t="shared" ref="J65" si="82">+J37/J21</f>
        <v>1.2337359727837482</v>
      </c>
      <c r="K65" s="672">
        <f>+K37/K21</f>
        <v>1.1552075193800349</v>
      </c>
      <c r="L65" s="1030">
        <f>+L37/L21</f>
        <v>1.0705153022559004</v>
      </c>
    </row>
    <row r="66" spans="2:12" s="25" customFormat="1" ht="20.25" customHeight="1" x14ac:dyDescent="0.35">
      <c r="B66" s="498" t="s">
        <v>29</v>
      </c>
      <c r="C66" s="509">
        <f t="shared" ref="C66:G66" si="83">+C38/C22</f>
        <v>1.6160212057483008</v>
      </c>
      <c r="D66" s="510">
        <f t="shared" si="83"/>
        <v>1.3811046200443235</v>
      </c>
      <c r="E66" s="510">
        <f t="shared" si="83"/>
        <v>1.3196601073802301</v>
      </c>
      <c r="F66" s="510">
        <f t="shared" si="83"/>
        <v>1.5539180010538278</v>
      </c>
      <c r="G66" s="510">
        <f t="shared" si="83"/>
        <v>1.393881019362845</v>
      </c>
      <c r="H66" s="510">
        <f>+H38/H22</f>
        <v>1.2817962074301443</v>
      </c>
      <c r="I66" s="510">
        <f t="shared" ref="I66" si="84">+I38/I22</f>
        <v>1.2501979382035524</v>
      </c>
      <c r="J66" s="510">
        <f t="shared" ref="J66" si="85">+J38/J22</f>
        <v>1.4350685014937903</v>
      </c>
      <c r="K66" s="672">
        <f t="shared" ref="K66:L66" si="86">+K38/K22</f>
        <v>1.3923822157672034</v>
      </c>
      <c r="L66" s="1030">
        <f t="shared" si="86"/>
        <v>1.338658123148089</v>
      </c>
    </row>
    <row r="67" spans="2:12" s="25" customFormat="1" ht="20.25" customHeight="1" x14ac:dyDescent="0.35">
      <c r="B67" s="497" t="s">
        <v>233</v>
      </c>
      <c r="C67" s="507">
        <f t="shared" ref="C67:H67" si="87">+C39/C23</f>
        <v>0.60593868269884921</v>
      </c>
      <c r="D67" s="508">
        <f t="shared" si="87"/>
        <v>0.53431326842181592</v>
      </c>
      <c r="E67" s="508">
        <f t="shared" si="87"/>
        <v>0.56375697433890304</v>
      </c>
      <c r="F67" s="508">
        <f t="shared" si="87"/>
        <v>0.65924273908890951</v>
      </c>
      <c r="G67" s="508">
        <f t="shared" si="87"/>
        <v>0.64672079472943422</v>
      </c>
      <c r="H67" s="508">
        <f t="shared" si="87"/>
        <v>0.8064998734443003</v>
      </c>
      <c r="I67" s="508">
        <f t="shared" ref="I67" si="88">+I39/I23</f>
        <v>0.96611385164285268</v>
      </c>
      <c r="J67" s="508">
        <f t="shared" ref="J67" si="89">+J39/J23</f>
        <v>1.2990444195055246</v>
      </c>
      <c r="K67" s="671">
        <f t="shared" ref="K67:L67" si="90">+K39/K23</f>
        <v>1.2336722956009645</v>
      </c>
      <c r="L67" s="1029">
        <f t="shared" si="90"/>
        <v>1.1611401914263983</v>
      </c>
    </row>
    <row r="68" spans="2:12" s="25" customFormat="1" ht="20.25" customHeight="1" x14ac:dyDescent="0.35">
      <c r="B68" s="497" t="s">
        <v>235</v>
      </c>
      <c r="C68" s="507">
        <f t="shared" ref="C68:H68" si="91">+C40/C24</f>
        <v>0.89557803931082403</v>
      </c>
      <c r="D68" s="508">
        <f t="shared" si="91"/>
        <v>0.80646544693174982</v>
      </c>
      <c r="E68" s="508">
        <f t="shared" si="91"/>
        <v>0.83161669046516984</v>
      </c>
      <c r="F68" s="508">
        <f t="shared" si="91"/>
        <v>0.96328866873940422</v>
      </c>
      <c r="G68" s="508">
        <f t="shared" si="91"/>
        <v>0.92456176824757008</v>
      </c>
      <c r="H68" s="508">
        <f t="shared" si="91"/>
        <v>0.94494431901869891</v>
      </c>
      <c r="I68" s="508">
        <f t="shared" ref="I68" si="92">+I40/I24</f>
        <v>1.0165181678623096</v>
      </c>
      <c r="J68" s="508">
        <f t="shared" ref="J68" si="93">+J40/J24</f>
        <v>1.1293281436572362</v>
      </c>
      <c r="K68" s="671">
        <f t="shared" ref="K68:L68" si="94">+K40/K24</f>
        <v>1.0943830492358049</v>
      </c>
      <c r="L68" s="1029">
        <f t="shared" si="94"/>
        <v>1.1453311124494336</v>
      </c>
    </row>
    <row r="69" spans="2:12" s="25" customFormat="1" ht="20.25" customHeight="1" x14ac:dyDescent="0.35">
      <c r="B69" s="497"/>
      <c r="C69" s="507"/>
      <c r="D69" s="508"/>
      <c r="E69" s="508"/>
      <c r="F69" s="508"/>
      <c r="G69" s="508"/>
      <c r="H69" s="508"/>
      <c r="I69" s="508"/>
      <c r="J69" s="508"/>
      <c r="K69" s="671"/>
      <c r="L69" s="1029"/>
    </row>
    <row r="70" spans="2:12" s="25" customFormat="1" ht="20.25" customHeight="1" x14ac:dyDescent="0.35">
      <c r="B70" s="494" t="s">
        <v>47</v>
      </c>
      <c r="C70" s="488"/>
      <c r="D70" s="495"/>
      <c r="E70" s="495"/>
      <c r="F70" s="495"/>
      <c r="G70" s="495"/>
      <c r="H70" s="495"/>
      <c r="I70" s="495"/>
      <c r="J70" s="495"/>
      <c r="K70" s="961"/>
      <c r="L70" s="1031"/>
    </row>
    <row r="71" spans="2:12" s="25" customFormat="1" ht="20.25" customHeight="1" x14ac:dyDescent="0.35">
      <c r="B71" s="497" t="s">
        <v>229</v>
      </c>
      <c r="C71" s="507">
        <f t="shared" ref="C71:H71" si="95">+C36/C27</f>
        <v>0.68033163691832432</v>
      </c>
      <c r="D71" s="508">
        <f t="shared" si="95"/>
        <v>0.68240513769816014</v>
      </c>
      <c r="E71" s="508">
        <f t="shared" si="95"/>
        <v>0.71715211828136449</v>
      </c>
      <c r="F71" s="508">
        <f t="shared" si="95"/>
        <v>0.71518381662374009</v>
      </c>
      <c r="G71" s="508">
        <f t="shared" si="95"/>
        <v>0.71178681207212258</v>
      </c>
      <c r="H71" s="508">
        <f t="shared" si="95"/>
        <v>0.71519110303728051</v>
      </c>
      <c r="I71" s="508">
        <f>+I36/I27</f>
        <v>0.72488536350692256</v>
      </c>
      <c r="J71" s="508">
        <f t="shared" ref="J71" si="96">+J36/J27</f>
        <v>0.7524048554719609</v>
      </c>
      <c r="K71" s="671">
        <f t="shared" ref="K71:L71" si="97">+K36/K27</f>
        <v>0.76427243457565008</v>
      </c>
      <c r="L71" s="1029">
        <f t="shared" si="97"/>
        <v>0.7780146196734895</v>
      </c>
    </row>
    <row r="72" spans="2:12" s="25" customFormat="1" ht="20.25" customHeight="1" x14ac:dyDescent="0.35">
      <c r="B72" s="498" t="s">
        <v>28</v>
      </c>
      <c r="C72" s="509">
        <f t="shared" ref="C72:G72" si="98">+C37/C28</f>
        <v>0.16490430374779166</v>
      </c>
      <c r="D72" s="510">
        <f t="shared" si="98"/>
        <v>0.15902501993794857</v>
      </c>
      <c r="E72" s="510">
        <f t="shared" si="98"/>
        <v>0.18591501289643697</v>
      </c>
      <c r="F72" s="510">
        <f t="shared" si="98"/>
        <v>0.20513558931104389</v>
      </c>
      <c r="G72" s="510">
        <f t="shared" si="98"/>
        <v>0.23691980526398887</v>
      </c>
      <c r="H72" s="510">
        <f>+H37/(H28+6)</f>
        <v>0.40651381030924166</v>
      </c>
      <c r="I72" s="510">
        <f>+I37/(I28+19)</f>
        <v>0.56301448300117218</v>
      </c>
      <c r="J72" s="510">
        <f>+J37/(J28+109.6)</f>
        <v>0.57821111878883102</v>
      </c>
      <c r="K72" s="672">
        <f>+K37/(K28+146.97)</f>
        <v>0.50412289407455524</v>
      </c>
      <c r="L72" s="1030">
        <f>+L37/(L28+189)</f>
        <v>0.42113072093990406</v>
      </c>
    </row>
    <row r="73" spans="2:12" s="25" customFormat="1" ht="20.25" customHeight="1" x14ac:dyDescent="0.35">
      <c r="B73" s="498" t="s">
        <v>29</v>
      </c>
      <c r="C73" s="509">
        <f t="shared" ref="C73:G73" si="99">+C38/C29</f>
        <v>1.140473457036876</v>
      </c>
      <c r="D73" s="510">
        <f t="shared" si="99"/>
        <v>1.0585735149255384</v>
      </c>
      <c r="E73" s="510">
        <f t="shared" si="99"/>
        <v>1.030039876165286</v>
      </c>
      <c r="F73" s="510">
        <f t="shared" si="99"/>
        <v>1.1856706889849198</v>
      </c>
      <c r="G73" s="510">
        <f t="shared" si="99"/>
        <v>1.1176967227070009</v>
      </c>
      <c r="H73" s="510">
        <f>+H38/H29</f>
        <v>1.0551978597967684</v>
      </c>
      <c r="I73" s="510">
        <f>+I38/I29</f>
        <v>1.0406646859353177</v>
      </c>
      <c r="J73" s="510">
        <f t="shared" ref="J73" si="100">+J38/J29</f>
        <v>1.1735958490577103</v>
      </c>
      <c r="K73" s="672">
        <f t="shared" ref="K73:L73" si="101">+K38/K29</f>
        <v>1.1779168041802615</v>
      </c>
      <c r="L73" s="1030">
        <f t="shared" si="101"/>
        <v>1.1109401194585811</v>
      </c>
    </row>
    <row r="74" spans="2:12" s="25" customFormat="1" ht="20.25" customHeight="1" x14ac:dyDescent="0.35">
      <c r="B74" s="497" t="s">
        <v>233</v>
      </c>
      <c r="C74" s="507">
        <f t="shared" ref="C74:G74" si="102">+C39/C30</f>
        <v>0.37695429848968454</v>
      </c>
      <c r="D74" s="508">
        <f t="shared" si="102"/>
        <v>0.36115004563138903</v>
      </c>
      <c r="E74" s="508">
        <f t="shared" si="102"/>
        <v>0.38599820942812757</v>
      </c>
      <c r="F74" s="508">
        <f t="shared" si="102"/>
        <v>0.45301572375598642</v>
      </c>
      <c r="G74" s="508">
        <f t="shared" si="102"/>
        <v>0.46925318223177775</v>
      </c>
      <c r="H74" s="508">
        <f>+H39/(H30+6)</f>
        <v>0.58201029521815928</v>
      </c>
      <c r="I74" s="508">
        <f>+I39/(I30+19)</f>
        <v>0.69161297953797052</v>
      </c>
      <c r="J74" s="508">
        <f>+J39/(J30+109.6)</f>
        <v>0.70668290056581251</v>
      </c>
      <c r="K74" s="671">
        <f>+K39/(K30+146.97)</f>
        <v>0.64104197471380997</v>
      </c>
      <c r="L74" s="1029">
        <f>+L39/(L30+189)</f>
        <v>0.55553627410490747</v>
      </c>
    </row>
    <row r="75" spans="2:12" s="25" customFormat="1" ht="20.25" customHeight="1" x14ac:dyDescent="0.35">
      <c r="B75" s="497" t="s">
        <v>235</v>
      </c>
      <c r="C75" s="507">
        <f t="shared" ref="C75:G75" si="103">+C40/C31</f>
        <v>0.60181217874520421</v>
      </c>
      <c r="D75" s="508">
        <f t="shared" si="103"/>
        <v>0.58813475140659432</v>
      </c>
      <c r="E75" s="508">
        <f t="shared" si="103"/>
        <v>0.61366123903278191</v>
      </c>
      <c r="F75" s="508">
        <f t="shared" si="103"/>
        <v>0.64709908995150034</v>
      </c>
      <c r="G75" s="508">
        <f t="shared" si="103"/>
        <v>0.64228307451304534</v>
      </c>
      <c r="H75" s="508">
        <f>+H40/(H31+6)</f>
        <v>0.67459235525568961</v>
      </c>
      <c r="I75" s="508">
        <f>+I40/(I31+19)</f>
        <v>0.71414551796231795</v>
      </c>
      <c r="J75" s="508">
        <f>+J40/(J31+109.6)</f>
        <v>0.73101494195570915</v>
      </c>
      <c r="K75" s="671">
        <f>+K40/(K31+146.97)</f>
        <v>0.70372030930906426</v>
      </c>
      <c r="L75" s="1029">
        <f>+L40/(L31+189)</f>
        <v>0.66805841722925574</v>
      </c>
    </row>
    <row r="76" spans="2:12" s="25" customFormat="1" ht="20.25" customHeight="1" x14ac:dyDescent="0.35">
      <c r="B76" s="501"/>
      <c r="C76" s="502"/>
      <c r="D76" s="503"/>
      <c r="E76" s="503"/>
      <c r="F76" s="503"/>
      <c r="G76" s="503"/>
      <c r="H76" s="503"/>
      <c r="I76" s="503"/>
      <c r="J76" s="503"/>
      <c r="K76" s="670"/>
      <c r="L76" s="1032"/>
    </row>
    <row r="77" spans="2:12" s="26" customFormat="1" ht="11.25" customHeight="1" x14ac:dyDescent="0.35">
      <c r="B77" s="511"/>
      <c r="C77" s="512"/>
      <c r="D77" s="512"/>
      <c r="E77" s="512"/>
      <c r="F77" s="512"/>
      <c r="G77" s="512"/>
      <c r="H77" s="512"/>
      <c r="I77" s="512"/>
      <c r="J77" s="512"/>
      <c r="K77" s="512"/>
      <c r="L77" s="512"/>
    </row>
    <row r="78" spans="2:12" s="15" customFormat="1" ht="20.25" customHeight="1" x14ac:dyDescent="0.2">
      <c r="B78" s="114" t="s">
        <v>151</v>
      </c>
      <c r="C78" s="490"/>
      <c r="D78" s="490"/>
      <c r="E78" s="490"/>
      <c r="F78" s="490"/>
      <c r="G78" s="490"/>
      <c r="H78" s="490"/>
      <c r="I78" s="490"/>
      <c r="J78" s="490"/>
      <c r="K78" s="490"/>
      <c r="L78" s="490"/>
    </row>
    <row r="79" spans="2:12" s="15" customFormat="1" ht="20.25" customHeight="1" x14ac:dyDescent="0.2">
      <c r="B79" s="114" t="s">
        <v>671</v>
      </c>
      <c r="C79" s="490"/>
      <c r="D79" s="490"/>
      <c r="E79" s="490"/>
      <c r="F79" s="490"/>
      <c r="G79" s="490"/>
      <c r="H79" s="490"/>
      <c r="I79" s="490"/>
      <c r="J79" s="490"/>
      <c r="K79" s="490"/>
      <c r="L79" s="490"/>
    </row>
    <row r="80" spans="2:12" ht="21" customHeight="1" x14ac:dyDescent="0.2">
      <c r="B80" s="43"/>
    </row>
    <row r="81" spans="2:2" ht="21" customHeight="1" x14ac:dyDescent="0.2">
      <c r="B81" s="42"/>
    </row>
  </sheetData>
  <mergeCells count="1">
    <mergeCell ref="B5:L5"/>
  </mergeCells>
  <hyperlinks>
    <hyperlink ref="L2" location="'Cover '!A1" display="Back to Cover" xr:uid="{00000000-0004-0000-0500-000000000000}"/>
  </hyperlinks>
  <printOptions horizontalCentered="1" verticalCentered="1"/>
  <pageMargins left="0" right="0" top="0" bottom="0" header="0" footer="0"/>
  <pageSetup paperSize="8" scale="70" orientation="portrait" r:id="rId1"/>
  <headerFooter alignWithMargins="0"/>
  <ignoredErrors>
    <ignoredError sqref="H72:J73 K72:L73"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E4A19-A266-4852-887B-A53652914792}">
  <sheetPr>
    <pageSetUpPr fitToPage="1"/>
  </sheetPr>
  <dimension ref="A1:T57"/>
  <sheetViews>
    <sheetView showGridLines="0" view="pageBreakPreview" zoomScale="90" zoomScaleNormal="90" zoomScaleSheetLayoutView="90" workbookViewId="0">
      <selection activeCell="L14" sqref="L14"/>
    </sheetView>
  </sheetViews>
  <sheetFormatPr defaultColWidth="9.140625" defaultRowHeight="15" customHeight="1" x14ac:dyDescent="0.35"/>
  <cols>
    <col min="1" max="1" width="2.42578125" style="20" customWidth="1"/>
    <col min="2" max="2" width="46.28515625" style="20" customWidth="1"/>
    <col min="3" max="12" width="14.5703125" style="22" customWidth="1"/>
    <col min="13" max="13" width="2.42578125" style="20" customWidth="1"/>
    <col min="14" max="14" width="19.140625" style="86" customWidth="1"/>
    <col min="15" max="15" width="19.85546875" style="86" bestFit="1" customWidth="1"/>
    <col min="16" max="17" width="12.140625" style="20" bestFit="1" customWidth="1"/>
    <col min="18" max="16384" width="9.140625" style="20"/>
  </cols>
  <sheetData>
    <row r="1" spans="1:17" s="23" customFormat="1" ht="15.75" customHeight="1" x14ac:dyDescent="0.35">
      <c r="B1" s="481"/>
      <c r="C1" s="481"/>
      <c r="D1" s="481"/>
      <c r="E1" s="481"/>
      <c r="F1" s="481"/>
      <c r="G1" s="481"/>
      <c r="H1" s="481"/>
      <c r="I1" s="481"/>
      <c r="J1" s="481"/>
      <c r="K1" s="481"/>
      <c r="L1" s="481"/>
      <c r="N1" s="84"/>
      <c r="O1" s="84"/>
    </row>
    <row r="2" spans="1:17" s="23" customFormat="1" ht="15.75" customHeight="1" x14ac:dyDescent="0.35">
      <c r="B2" s="481"/>
      <c r="C2" s="506"/>
      <c r="D2" s="506"/>
      <c r="E2" s="506"/>
      <c r="F2" s="506"/>
      <c r="G2" s="506"/>
      <c r="H2" s="506"/>
      <c r="I2" s="506"/>
      <c r="J2" s="506"/>
      <c r="K2" s="506"/>
      <c r="L2" s="482" t="s">
        <v>18</v>
      </c>
      <c r="N2" s="84"/>
      <c r="O2" s="84"/>
    </row>
    <row r="3" spans="1:17" s="23" customFormat="1" ht="15.75" customHeight="1" x14ac:dyDescent="0.35">
      <c r="B3" s="481"/>
      <c r="C3" s="481"/>
      <c r="D3" s="481"/>
      <c r="E3" s="481"/>
      <c r="F3" s="481"/>
      <c r="G3" s="481"/>
      <c r="H3" s="481"/>
      <c r="I3" s="481"/>
      <c r="J3" s="481"/>
      <c r="K3" s="481"/>
      <c r="L3" s="481"/>
      <c r="N3" s="84"/>
      <c r="O3" s="84"/>
    </row>
    <row r="4" spans="1:17" s="24" customFormat="1" ht="15.75" customHeight="1" x14ac:dyDescent="0.35">
      <c r="B4" s="483"/>
      <c r="C4" s="483"/>
      <c r="D4" s="483"/>
      <c r="E4" s="483"/>
      <c r="F4" s="483"/>
      <c r="G4" s="483"/>
      <c r="H4" s="483"/>
      <c r="I4" s="483"/>
      <c r="J4" s="483"/>
      <c r="K4" s="483"/>
      <c r="L4" s="483"/>
      <c r="N4" s="85"/>
      <c r="O4" s="85"/>
    </row>
    <row r="5" spans="1:17" ht="28.5" x14ac:dyDescent="0.35">
      <c r="A5" s="16"/>
      <c r="B5" s="1091" t="s">
        <v>108</v>
      </c>
      <c r="C5" s="1091"/>
      <c r="D5" s="1091"/>
      <c r="E5" s="1091"/>
      <c r="F5" s="1091"/>
      <c r="G5" s="1091"/>
      <c r="H5" s="1091"/>
      <c r="I5" s="1091"/>
      <c r="J5" s="1091"/>
      <c r="K5" s="1091"/>
      <c r="L5" s="1091"/>
    </row>
    <row r="6" spans="1:17" ht="9" customHeight="1" x14ac:dyDescent="0.35">
      <c r="A6" s="16"/>
      <c r="B6" s="117"/>
      <c r="C6" s="117"/>
      <c r="D6" s="117"/>
      <c r="E6" s="117"/>
      <c r="F6" s="117"/>
      <c r="G6" s="117"/>
      <c r="H6" s="117"/>
      <c r="I6" s="117"/>
      <c r="J6" s="117"/>
      <c r="K6" s="117"/>
      <c r="L6" s="117"/>
    </row>
    <row r="7" spans="1:17" ht="11.25" customHeight="1" x14ac:dyDescent="0.35">
      <c r="A7" s="18"/>
      <c r="B7" s="438"/>
      <c r="C7" s="438"/>
      <c r="D7" s="438"/>
      <c r="E7" s="438"/>
      <c r="F7" s="438"/>
      <c r="G7" s="438"/>
      <c r="H7" s="438"/>
      <c r="I7" s="438"/>
      <c r="J7" s="438"/>
      <c r="K7" s="438"/>
      <c r="L7" s="438"/>
    </row>
    <row r="8" spans="1:17" s="23" customFormat="1" ht="11.25" customHeight="1" x14ac:dyDescent="0.35">
      <c r="B8" s="481"/>
      <c r="C8" s="484"/>
      <c r="D8" s="484"/>
      <c r="E8" s="484"/>
      <c r="F8" s="484"/>
      <c r="G8" s="484"/>
      <c r="H8" s="484"/>
      <c r="I8" s="484"/>
      <c r="J8" s="484"/>
      <c r="K8" s="484"/>
      <c r="L8" s="484"/>
      <c r="N8" s="84"/>
      <c r="O8" s="84"/>
    </row>
    <row r="9" spans="1:17" s="23" customFormat="1" ht="22.5" customHeight="1" x14ac:dyDescent="0.35">
      <c r="B9" s="491" t="s">
        <v>91</v>
      </c>
      <c r="C9" s="492">
        <v>45382</v>
      </c>
      <c r="D9" s="492">
        <v>45473</v>
      </c>
      <c r="E9" s="492">
        <v>45565</v>
      </c>
      <c r="F9" s="492">
        <v>45657</v>
      </c>
      <c r="G9" s="492">
        <v>45747</v>
      </c>
      <c r="H9" s="492">
        <v>45838</v>
      </c>
      <c r="I9" s="492">
        <v>45930</v>
      </c>
      <c r="J9" s="492">
        <v>46022</v>
      </c>
      <c r="K9" s="505">
        <v>46112</v>
      </c>
      <c r="L9" s="493">
        <v>46203</v>
      </c>
      <c r="N9" s="84"/>
      <c r="O9" s="84"/>
    </row>
    <row r="10" spans="1:17" s="25" customFormat="1" ht="22.5" customHeight="1" x14ac:dyDescent="0.35">
      <c r="B10" s="494" t="s">
        <v>237</v>
      </c>
      <c r="C10" s="488">
        <v>29054.406812539997</v>
      </c>
      <c r="D10" s="495">
        <v>30209.86888967</v>
      </c>
      <c r="E10" s="495">
        <v>30810.177918440004</v>
      </c>
      <c r="F10" s="495">
        <v>33276.284999199997</v>
      </c>
      <c r="G10" s="495">
        <v>34023.680784379998</v>
      </c>
      <c r="H10" s="495">
        <v>34221.24159215</v>
      </c>
      <c r="I10" s="495">
        <v>34948.08770394</v>
      </c>
      <c r="J10" s="495">
        <v>36022.180149499996</v>
      </c>
      <c r="K10" s="961">
        <v>36584.150061419998</v>
      </c>
      <c r="L10" s="496">
        <v>37861.015424210003</v>
      </c>
      <c r="N10" s="87"/>
      <c r="O10" s="699"/>
      <c r="P10" s="74"/>
      <c r="Q10" s="75"/>
    </row>
    <row r="11" spans="1:17" s="25" customFormat="1" ht="22.5" customHeight="1" x14ac:dyDescent="0.35">
      <c r="B11" s="498" t="s">
        <v>81</v>
      </c>
      <c r="C11" s="489">
        <v>26450.677390919998</v>
      </c>
      <c r="D11" s="499">
        <v>27746.137670370001</v>
      </c>
      <c r="E11" s="499">
        <v>28598.290656970003</v>
      </c>
      <c r="F11" s="499">
        <v>31226.815425860001</v>
      </c>
      <c r="G11" s="499">
        <v>32104.24333935</v>
      </c>
      <c r="H11" s="499">
        <v>32455.167390490002</v>
      </c>
      <c r="I11" s="499">
        <v>33070.705288960002</v>
      </c>
      <c r="J11" s="499">
        <v>34333.209669819997</v>
      </c>
      <c r="K11" s="963">
        <v>34825.06495616</v>
      </c>
      <c r="L11" s="500">
        <v>35885.314031300004</v>
      </c>
      <c r="N11" s="88"/>
      <c r="O11" s="1039"/>
    </row>
    <row r="12" spans="1:17" s="25" customFormat="1" ht="22.5" customHeight="1" x14ac:dyDescent="0.35">
      <c r="B12" s="498" t="s">
        <v>82</v>
      </c>
      <c r="C12" s="489">
        <v>1494.5605430399999</v>
      </c>
      <c r="D12" s="499">
        <v>1428.2427050699998</v>
      </c>
      <c r="E12" s="499">
        <v>1205.8331252799999</v>
      </c>
      <c r="F12" s="499">
        <v>1127.15963119</v>
      </c>
      <c r="G12" s="499">
        <v>1007.90763089</v>
      </c>
      <c r="H12" s="499">
        <v>879.08055585</v>
      </c>
      <c r="I12" s="499">
        <v>1001.37589903</v>
      </c>
      <c r="J12" s="499">
        <v>1035.93610601</v>
      </c>
      <c r="K12" s="963">
        <v>1117.40546907</v>
      </c>
      <c r="L12" s="500">
        <v>1274.7990704900001</v>
      </c>
      <c r="N12" s="88"/>
      <c r="O12" s="1039"/>
    </row>
    <row r="13" spans="1:17" s="25" customFormat="1" ht="22.5" customHeight="1" x14ac:dyDescent="0.35">
      <c r="B13" s="514" t="s">
        <v>358</v>
      </c>
      <c r="C13" s="489">
        <v>965.3601638699995</v>
      </c>
      <c r="D13" s="499">
        <v>892.60002607000104</v>
      </c>
      <c r="E13" s="499">
        <v>867.35167760999889</v>
      </c>
      <c r="F13" s="499">
        <v>790.49038842000073</v>
      </c>
      <c r="G13" s="499">
        <v>782.58494225999959</v>
      </c>
      <c r="H13" s="499">
        <v>759.11511202000031</v>
      </c>
      <c r="I13" s="499">
        <v>749.77718082000024</v>
      </c>
      <c r="J13" s="499">
        <v>536.52142165999987</v>
      </c>
      <c r="K13" s="963">
        <v>547.4421455399995</v>
      </c>
      <c r="L13" s="500">
        <v>606.85849448000045</v>
      </c>
      <c r="N13" s="87"/>
      <c r="O13" s="1039"/>
    </row>
    <row r="14" spans="1:17" s="25" customFormat="1" ht="22.5" customHeight="1" x14ac:dyDescent="0.35">
      <c r="B14" s="514" t="s">
        <v>357</v>
      </c>
      <c r="C14" s="489">
        <v>143.80871471000046</v>
      </c>
      <c r="D14" s="499">
        <v>142.88848815999893</v>
      </c>
      <c r="E14" s="499">
        <v>138.70245858000101</v>
      </c>
      <c r="F14" s="499">
        <v>131.81955372999926</v>
      </c>
      <c r="G14" s="499">
        <v>128.94487188000039</v>
      </c>
      <c r="H14" s="499">
        <v>127.87853378999966</v>
      </c>
      <c r="I14" s="499">
        <v>126.22933512999975</v>
      </c>
      <c r="J14" s="499">
        <v>116.51295201000005</v>
      </c>
      <c r="K14" s="963">
        <v>94.237490650000609</v>
      </c>
      <c r="L14" s="500">
        <v>94.043827939999687</v>
      </c>
      <c r="N14" s="87"/>
      <c r="O14" s="1039"/>
    </row>
    <row r="15" spans="1:17" s="25" customFormat="1" ht="22.5" customHeight="1" x14ac:dyDescent="0.35">
      <c r="B15" s="494" t="s">
        <v>92</v>
      </c>
      <c r="C15" s="488">
        <v>6424.8504618399993</v>
      </c>
      <c r="D15" s="495">
        <v>6419.8970501899994</v>
      </c>
      <c r="E15" s="495">
        <v>6420.6904380799997</v>
      </c>
      <c r="F15" s="495">
        <v>6304.4755633800005</v>
      </c>
      <c r="G15" s="495">
        <v>6251.3679509099993</v>
      </c>
      <c r="H15" s="495">
        <v>6274.40029125</v>
      </c>
      <c r="I15" s="495">
        <v>6318.6098257599997</v>
      </c>
      <c r="J15" s="495">
        <v>6416.9371658499995</v>
      </c>
      <c r="K15" s="961">
        <v>6446.9397743600002</v>
      </c>
      <c r="L15" s="496">
        <v>6484.7503195199997</v>
      </c>
      <c r="N15" s="87"/>
      <c r="O15" s="727"/>
    </row>
    <row r="16" spans="1:17" s="25" customFormat="1" ht="22.5" customHeight="1" x14ac:dyDescent="0.35">
      <c r="B16" s="498" t="s">
        <v>81</v>
      </c>
      <c r="C16" s="489">
        <v>4471.78187256</v>
      </c>
      <c r="D16" s="499">
        <v>4602.3476285699999</v>
      </c>
      <c r="E16" s="499">
        <v>4555.1831887799999</v>
      </c>
      <c r="F16" s="499">
        <v>4550.3185505500005</v>
      </c>
      <c r="G16" s="499">
        <v>4425.80173483</v>
      </c>
      <c r="H16" s="499">
        <v>4561.7634293599995</v>
      </c>
      <c r="I16" s="499">
        <v>4656.4390249799999</v>
      </c>
      <c r="J16" s="499">
        <v>4770.0945161199998</v>
      </c>
      <c r="K16" s="963">
        <v>4839.9676558400006</v>
      </c>
      <c r="L16" s="500">
        <v>4901.2114256699997</v>
      </c>
      <c r="N16" s="87"/>
      <c r="O16" s="1039"/>
    </row>
    <row r="17" spans="2:20" s="25" customFormat="1" ht="22.5" customHeight="1" x14ac:dyDescent="0.35">
      <c r="B17" s="498" t="s">
        <v>82</v>
      </c>
      <c r="C17" s="489">
        <v>1436.0803217600001</v>
      </c>
      <c r="D17" s="499">
        <v>1281.60644471</v>
      </c>
      <c r="E17" s="499">
        <v>1318.4221936700001</v>
      </c>
      <c r="F17" s="499">
        <v>1305.1338567400001</v>
      </c>
      <c r="G17" s="499">
        <v>1357.6292071199998</v>
      </c>
      <c r="H17" s="499">
        <v>1236.1824205999999</v>
      </c>
      <c r="I17" s="499">
        <v>1173.33663656</v>
      </c>
      <c r="J17" s="499">
        <v>1076.7518677</v>
      </c>
      <c r="K17" s="963">
        <v>1004.0236995</v>
      </c>
      <c r="L17" s="500">
        <v>933.69921297999997</v>
      </c>
      <c r="N17" s="88"/>
      <c r="O17" s="1039"/>
    </row>
    <row r="18" spans="2:20" s="25" customFormat="1" ht="22.5" customHeight="1" x14ac:dyDescent="0.35">
      <c r="B18" s="514" t="s">
        <v>482</v>
      </c>
      <c r="C18" s="489">
        <v>263.76310561000003</v>
      </c>
      <c r="D18" s="499">
        <v>287.35614193000004</v>
      </c>
      <c r="E18" s="499">
        <v>300.77074230000011</v>
      </c>
      <c r="F18" s="499">
        <v>207.13772509999976</v>
      </c>
      <c r="G18" s="499">
        <v>231.37460118999977</v>
      </c>
      <c r="H18" s="499">
        <v>242.77230908999991</v>
      </c>
      <c r="I18" s="499">
        <v>261.10867868999992</v>
      </c>
      <c r="J18" s="499">
        <v>369.8831016800001</v>
      </c>
      <c r="K18" s="963">
        <v>421.42557243000044</v>
      </c>
      <c r="L18" s="500">
        <v>477.60214966000012</v>
      </c>
      <c r="N18" s="88"/>
      <c r="O18" s="1039"/>
    </row>
    <row r="19" spans="2:20" s="25" customFormat="1" ht="22.5" customHeight="1" x14ac:dyDescent="0.35">
      <c r="B19" s="514" t="s">
        <v>357</v>
      </c>
      <c r="C19" s="489">
        <v>253.22516191</v>
      </c>
      <c r="D19" s="499">
        <v>248.58683497999994</v>
      </c>
      <c r="E19" s="499">
        <v>246.31431332999983</v>
      </c>
      <c r="F19" s="499">
        <v>241.88543099000029</v>
      </c>
      <c r="G19" s="499">
        <v>236.56240777000025</v>
      </c>
      <c r="H19" s="499">
        <v>233.68213220000007</v>
      </c>
      <c r="I19" s="499">
        <v>227.72548553000013</v>
      </c>
      <c r="J19" s="499">
        <v>200.20768034999992</v>
      </c>
      <c r="K19" s="963">
        <v>181.52284658999952</v>
      </c>
      <c r="L19" s="500">
        <v>172.23753120999993</v>
      </c>
      <c r="N19" s="87"/>
      <c r="O19" s="1039"/>
    </row>
    <row r="20" spans="2:20" s="25" customFormat="1" ht="22.5" customHeight="1" x14ac:dyDescent="0.35">
      <c r="B20" s="494" t="s">
        <v>111</v>
      </c>
      <c r="C20" s="488">
        <v>1668.6362920800002</v>
      </c>
      <c r="D20" s="495">
        <v>1718.3245323199999</v>
      </c>
      <c r="E20" s="495">
        <v>1754.77974571</v>
      </c>
      <c r="F20" s="495">
        <v>1794.6513429799998</v>
      </c>
      <c r="G20" s="495">
        <v>1776.67305698</v>
      </c>
      <c r="H20" s="495">
        <v>1840.7506638300001</v>
      </c>
      <c r="I20" s="495">
        <v>1887.7544112</v>
      </c>
      <c r="J20" s="495">
        <v>1850.23909011</v>
      </c>
      <c r="K20" s="961">
        <v>1859.0919749599998</v>
      </c>
      <c r="L20" s="496">
        <v>1911.4808630800003</v>
      </c>
      <c r="N20" s="87"/>
      <c r="O20" s="726"/>
    </row>
    <row r="21" spans="2:20" s="25" customFormat="1" ht="22.5" customHeight="1" x14ac:dyDescent="0.35">
      <c r="B21" s="498" t="s">
        <v>81</v>
      </c>
      <c r="C21" s="489">
        <v>1206.86784354</v>
      </c>
      <c r="D21" s="499">
        <v>1265.06172436</v>
      </c>
      <c r="E21" s="499">
        <v>1328.75462922</v>
      </c>
      <c r="F21" s="499">
        <v>1388.56498278</v>
      </c>
      <c r="G21" s="499">
        <v>1352.2713038500001</v>
      </c>
      <c r="H21" s="499">
        <v>1474.1152585600003</v>
      </c>
      <c r="I21" s="499">
        <v>1535.4934685599999</v>
      </c>
      <c r="J21" s="499">
        <v>1473.7303206199999</v>
      </c>
      <c r="K21" s="963">
        <v>1474.43407131</v>
      </c>
      <c r="L21" s="500">
        <v>1521.0977505700002</v>
      </c>
      <c r="N21" s="87"/>
      <c r="O21" s="499"/>
    </row>
    <row r="22" spans="2:20" s="25" customFormat="1" ht="22.5" customHeight="1" x14ac:dyDescent="0.35">
      <c r="B22" s="498" t="s">
        <v>82</v>
      </c>
      <c r="C22" s="489">
        <v>342.59777213000001</v>
      </c>
      <c r="D22" s="499">
        <v>325.89311838000003</v>
      </c>
      <c r="E22" s="499">
        <v>290.03334403000002</v>
      </c>
      <c r="F22" s="499">
        <v>294.60858523000002</v>
      </c>
      <c r="G22" s="499">
        <v>301.56070090999998</v>
      </c>
      <c r="H22" s="499">
        <v>238.24711989000002</v>
      </c>
      <c r="I22" s="499">
        <v>219.18649539</v>
      </c>
      <c r="J22" s="499">
        <v>237.36463514000002</v>
      </c>
      <c r="K22" s="963">
        <v>242.20615022999999</v>
      </c>
      <c r="L22" s="500">
        <v>239.08760887</v>
      </c>
      <c r="N22" s="87"/>
      <c r="O22" s="933"/>
    </row>
    <row r="23" spans="2:20" s="25" customFormat="1" ht="22.5" customHeight="1" x14ac:dyDescent="0.35">
      <c r="B23" s="514" t="s">
        <v>358</v>
      </c>
      <c r="C23" s="489">
        <v>73.282378920000014</v>
      </c>
      <c r="D23" s="499">
        <v>83.310257430000007</v>
      </c>
      <c r="E23" s="499">
        <v>93.471616549999965</v>
      </c>
      <c r="F23" s="499">
        <v>70.115875700000004</v>
      </c>
      <c r="G23" s="499">
        <v>82.936679249999969</v>
      </c>
      <c r="H23" s="499">
        <v>90.077340829999955</v>
      </c>
      <c r="I23" s="499">
        <v>96.23565817000005</v>
      </c>
      <c r="J23" s="499">
        <v>101.80194143999989</v>
      </c>
      <c r="K23" s="963">
        <v>107.50200729000004</v>
      </c>
      <c r="L23" s="500">
        <v>115.57860902999994</v>
      </c>
      <c r="N23" s="87"/>
      <c r="O23" s="726"/>
    </row>
    <row r="24" spans="2:20" s="25" customFormat="1" ht="22.5" customHeight="1" x14ac:dyDescent="0.35">
      <c r="B24" s="514" t="s">
        <v>357</v>
      </c>
      <c r="C24" s="489">
        <v>45.888297489999985</v>
      </c>
      <c r="D24" s="499">
        <v>44.059432149999992</v>
      </c>
      <c r="E24" s="499">
        <v>42.520155910000028</v>
      </c>
      <c r="F24" s="499">
        <v>41.361899269999981</v>
      </c>
      <c r="G24" s="499">
        <v>39.904372970000026</v>
      </c>
      <c r="H24" s="499">
        <v>38.310944550000059</v>
      </c>
      <c r="I24" s="499">
        <v>36.838789079999941</v>
      </c>
      <c r="J24" s="499">
        <v>37.342192910000108</v>
      </c>
      <c r="K24" s="963">
        <v>34.94974612999998</v>
      </c>
      <c r="L24" s="500">
        <v>35.716894610000054</v>
      </c>
      <c r="N24" s="87"/>
      <c r="O24" s="726"/>
    </row>
    <row r="25" spans="2:20" s="25" customFormat="1" ht="22.5" customHeight="1" x14ac:dyDescent="0.35">
      <c r="B25" s="494" t="s">
        <v>93</v>
      </c>
      <c r="C25" s="488">
        <v>37147.893566459999</v>
      </c>
      <c r="D25" s="495">
        <v>38348.090472169999</v>
      </c>
      <c r="E25" s="495">
        <v>38985.648102250001</v>
      </c>
      <c r="F25" s="495">
        <v>41375.411905560002</v>
      </c>
      <c r="G25" s="495">
        <v>42051.721792260003</v>
      </c>
      <c r="H25" s="495">
        <v>42336.392547250005</v>
      </c>
      <c r="I25" s="495">
        <v>43154.451940909996</v>
      </c>
      <c r="J25" s="495">
        <v>44289.356405459992</v>
      </c>
      <c r="K25" s="961">
        <v>44890.181810739996</v>
      </c>
      <c r="L25" s="496">
        <v>46257.246606800007</v>
      </c>
      <c r="N25" s="657"/>
      <c r="O25" s="499"/>
      <c r="P25" s="52"/>
      <c r="R25" s="76"/>
      <c r="T25" s="52"/>
    </row>
    <row r="26" spans="2:20" s="25" customFormat="1" ht="22.5" customHeight="1" x14ac:dyDescent="0.35">
      <c r="B26" s="498" t="s">
        <v>81</v>
      </c>
      <c r="C26" s="489">
        <v>32129.327107009998</v>
      </c>
      <c r="D26" s="499">
        <v>33613.547023300001</v>
      </c>
      <c r="E26" s="499">
        <v>34482.228474980002</v>
      </c>
      <c r="F26" s="499">
        <v>37165.698959190006</v>
      </c>
      <c r="G26" s="499">
        <v>37882.316378030002</v>
      </c>
      <c r="H26" s="499">
        <v>38491.046078410007</v>
      </c>
      <c r="I26" s="499">
        <v>39262.637782489997</v>
      </c>
      <c r="J26" s="499">
        <v>40577.034506559998</v>
      </c>
      <c r="K26" s="963">
        <v>41139.466683309998</v>
      </c>
      <c r="L26" s="500">
        <v>42307.623207540004</v>
      </c>
      <c r="N26" s="939"/>
      <c r="O26" s="934"/>
      <c r="P26" s="52"/>
      <c r="R26" s="76"/>
      <c r="T26" s="52"/>
    </row>
    <row r="27" spans="2:20" s="25" customFormat="1" ht="22.5" customHeight="1" x14ac:dyDescent="0.35">
      <c r="B27" s="498" t="s">
        <v>82</v>
      </c>
      <c r="C27" s="489">
        <v>3273.2386369400001</v>
      </c>
      <c r="D27" s="499">
        <v>3035.7422681599996</v>
      </c>
      <c r="E27" s="499">
        <v>2814.2886629899999</v>
      </c>
      <c r="F27" s="499">
        <v>2726.90207315</v>
      </c>
      <c r="G27" s="499">
        <v>2667.0975389200003</v>
      </c>
      <c r="H27" s="499">
        <v>2353.5100963499999</v>
      </c>
      <c r="I27" s="499">
        <v>2393.8990309899996</v>
      </c>
      <c r="J27" s="499">
        <v>2350.0526088500001</v>
      </c>
      <c r="K27" s="963">
        <v>2363.6353188000003</v>
      </c>
      <c r="L27" s="500">
        <v>2447.5858923400001</v>
      </c>
      <c r="M27" s="48"/>
      <c r="N27" s="87"/>
      <c r="O27" s="860"/>
      <c r="P27" s="76"/>
      <c r="R27" s="76"/>
      <c r="T27" s="52"/>
    </row>
    <row r="28" spans="2:20" s="25" customFormat="1" ht="22.5" customHeight="1" x14ac:dyDescent="0.35">
      <c r="B28" s="514" t="s">
        <v>358</v>
      </c>
      <c r="C28" s="489">
        <v>1302.4056483999996</v>
      </c>
      <c r="D28" s="499">
        <v>1263.2664254300012</v>
      </c>
      <c r="E28" s="499">
        <v>1261.594036459999</v>
      </c>
      <c r="F28" s="499">
        <v>1067.7439892200005</v>
      </c>
      <c r="G28" s="499">
        <v>1096.8962226999993</v>
      </c>
      <c r="H28" s="499">
        <v>1091.9647619400002</v>
      </c>
      <c r="I28" s="499">
        <v>1107.1215176800001</v>
      </c>
      <c r="J28" s="499">
        <v>1008.2064647799999</v>
      </c>
      <c r="K28" s="963">
        <v>1076.36972526</v>
      </c>
      <c r="L28" s="500">
        <v>1200.0392531700004</v>
      </c>
      <c r="M28" s="48"/>
      <c r="N28" s="842"/>
      <c r="O28" s="1073"/>
      <c r="P28" s="76"/>
      <c r="Q28" s="656"/>
      <c r="R28" s="76"/>
      <c r="T28" s="52"/>
    </row>
    <row r="29" spans="2:20" s="25" customFormat="1" ht="22.5" customHeight="1" x14ac:dyDescent="0.35">
      <c r="B29" s="524" t="s">
        <v>357</v>
      </c>
      <c r="C29" s="525">
        <v>442.92217411000024</v>
      </c>
      <c r="D29" s="526">
        <v>435.53475527999876</v>
      </c>
      <c r="E29" s="526">
        <v>427.53692782000121</v>
      </c>
      <c r="F29" s="526">
        <v>415.06688399999962</v>
      </c>
      <c r="G29" s="526">
        <v>405.4116526100006</v>
      </c>
      <c r="H29" s="526">
        <v>399.87161054999979</v>
      </c>
      <c r="I29" s="526">
        <v>390.79360974999986</v>
      </c>
      <c r="J29" s="526">
        <v>354.06282526999996</v>
      </c>
      <c r="K29" s="964">
        <v>310.71008337000012</v>
      </c>
      <c r="L29" s="527">
        <v>301.99825374999978</v>
      </c>
      <c r="N29" s="88"/>
      <c r="O29" s="860"/>
      <c r="P29" s="76"/>
      <c r="R29" s="76"/>
      <c r="T29" s="52"/>
    </row>
    <row r="30" spans="2:20" s="26" customFormat="1" ht="8.25" customHeight="1" x14ac:dyDescent="0.35">
      <c r="B30" s="511"/>
      <c r="C30" s="519"/>
      <c r="D30" s="519"/>
      <c r="E30" s="519"/>
      <c r="F30" s="519"/>
      <c r="G30" s="519"/>
      <c r="H30" s="519"/>
      <c r="I30" s="519"/>
      <c r="J30" s="519"/>
      <c r="K30" s="519"/>
      <c r="L30" s="512"/>
      <c r="N30" s="85"/>
      <c r="O30" s="85"/>
    </row>
    <row r="31" spans="2:20" s="19" customFormat="1" ht="22.5" customHeight="1" x14ac:dyDescent="0.2">
      <c r="B31" s="491" t="s">
        <v>94</v>
      </c>
      <c r="C31" s="492">
        <v>45382</v>
      </c>
      <c r="D31" s="492">
        <v>45473</v>
      </c>
      <c r="E31" s="492">
        <v>45565</v>
      </c>
      <c r="F31" s="492">
        <v>45657</v>
      </c>
      <c r="G31" s="492">
        <v>45747</v>
      </c>
      <c r="H31" s="492">
        <v>45838</v>
      </c>
      <c r="I31" s="492">
        <v>45930</v>
      </c>
      <c r="J31" s="492">
        <v>46022</v>
      </c>
      <c r="K31" s="505">
        <v>46112</v>
      </c>
      <c r="L31" s="493">
        <v>46203</v>
      </c>
      <c r="N31" s="89"/>
      <c r="O31" s="89"/>
    </row>
    <row r="32" spans="2:20" ht="22.5" customHeight="1" x14ac:dyDescent="0.35">
      <c r="B32" s="494" t="s">
        <v>237</v>
      </c>
      <c r="C32" s="488">
        <v>656.76279616117142</v>
      </c>
      <c r="D32" s="495">
        <v>608.97681281408836</v>
      </c>
      <c r="E32" s="495">
        <v>621.88808340111132</v>
      </c>
      <c r="F32" s="495">
        <v>565.20967125000004</v>
      </c>
      <c r="G32" s="495">
        <v>556.89478656055894</v>
      </c>
      <c r="H32" s="495">
        <v>542.77385984999989</v>
      </c>
      <c r="I32" s="495">
        <v>543.36259922674662</v>
      </c>
      <c r="J32" s="495">
        <v>403.54549871000006</v>
      </c>
      <c r="K32" s="961">
        <v>418.25995904000001</v>
      </c>
      <c r="L32" s="496">
        <v>472.10872954942465</v>
      </c>
      <c r="N32" s="730"/>
      <c r="O32" s="730"/>
      <c r="P32" s="77"/>
      <c r="Q32" s="1082"/>
    </row>
    <row r="33" spans="2:17" ht="22.5" customHeight="1" x14ac:dyDescent="0.35">
      <c r="B33" s="498" t="s">
        <v>81</v>
      </c>
      <c r="C33" s="489">
        <v>36.540559500023313</v>
      </c>
      <c r="D33" s="499">
        <v>36.273413500163279</v>
      </c>
      <c r="E33" s="499">
        <v>33.501330781585338</v>
      </c>
      <c r="F33" s="499">
        <v>37.031325369999998</v>
      </c>
      <c r="G33" s="499">
        <v>36.521238752225273</v>
      </c>
      <c r="H33" s="499">
        <v>34.181134569999998</v>
      </c>
      <c r="I33" s="499">
        <v>37.099886146356788</v>
      </c>
      <c r="J33" s="499">
        <v>44.552463029999998</v>
      </c>
      <c r="K33" s="963">
        <v>44.841930859999998</v>
      </c>
      <c r="L33" s="500">
        <v>46.192288119347353</v>
      </c>
      <c r="N33" s="730"/>
      <c r="O33" s="730"/>
      <c r="Q33" s="1082"/>
    </row>
    <row r="34" spans="2:17" ht="22.5" customHeight="1" x14ac:dyDescent="0.35">
      <c r="B34" s="498" t="s">
        <v>82</v>
      </c>
      <c r="C34" s="489">
        <v>58.99289500780845</v>
      </c>
      <c r="D34" s="499">
        <v>58.760437376691975</v>
      </c>
      <c r="E34" s="499">
        <v>52.029095269303888</v>
      </c>
      <c r="F34" s="499">
        <v>40.13089548</v>
      </c>
      <c r="G34" s="499">
        <v>43.188801766555841</v>
      </c>
      <c r="H34" s="499">
        <v>42.741966060000003</v>
      </c>
      <c r="I34" s="499">
        <v>41.105685611235387</v>
      </c>
      <c r="J34" s="499">
        <v>39.932082740000006</v>
      </c>
      <c r="K34" s="963">
        <v>47.439578659999995</v>
      </c>
      <c r="L34" s="500">
        <v>68.850546013405506</v>
      </c>
      <c r="N34" s="730"/>
      <c r="O34" s="730"/>
      <c r="Q34" s="1083"/>
    </row>
    <row r="35" spans="2:17" ht="22.5" customHeight="1" x14ac:dyDescent="0.35">
      <c r="B35" s="514" t="s">
        <v>358</v>
      </c>
      <c r="C35" s="489">
        <v>557.49816675</v>
      </c>
      <c r="D35" s="499">
        <v>510.0093169000001</v>
      </c>
      <c r="E35" s="499">
        <v>532.84122085999979</v>
      </c>
      <c r="F35" s="499">
        <v>484.80294848999978</v>
      </c>
      <c r="G35" s="499">
        <v>474.20578319000009</v>
      </c>
      <c r="H35" s="499">
        <v>462.87727217000003</v>
      </c>
      <c r="I35" s="499">
        <v>462.06300588000005</v>
      </c>
      <c r="J35" s="499">
        <v>315.07333456999993</v>
      </c>
      <c r="K35" s="963">
        <v>321.7995856</v>
      </c>
      <c r="L35" s="500">
        <v>352.77523751999996</v>
      </c>
      <c r="N35" s="730"/>
      <c r="O35" s="730"/>
      <c r="Q35" s="1082"/>
    </row>
    <row r="36" spans="2:17" ht="22.5" customHeight="1" x14ac:dyDescent="0.35">
      <c r="B36" s="514" t="s">
        <v>357</v>
      </c>
      <c r="C36" s="489">
        <v>3.7311749033397064</v>
      </c>
      <c r="D36" s="499">
        <v>3.9336450372330205</v>
      </c>
      <c r="E36" s="499">
        <v>3.5164364902223042</v>
      </c>
      <c r="F36" s="499">
        <v>3.2445019100002241</v>
      </c>
      <c r="G36" s="499">
        <v>2.9789628517777942</v>
      </c>
      <c r="H36" s="499">
        <v>2.9734870499999033</v>
      </c>
      <c r="I36" s="499">
        <v>3.0940215891544653</v>
      </c>
      <c r="J36" s="499">
        <v>3.9876183700001206</v>
      </c>
      <c r="K36" s="963">
        <v>4.1788639200000262</v>
      </c>
      <c r="L36" s="500">
        <v>4.290657896671803</v>
      </c>
      <c r="N36" s="730"/>
      <c r="O36" s="730"/>
      <c r="Q36" s="1082"/>
    </row>
    <row r="37" spans="2:17" ht="22.5" customHeight="1" x14ac:dyDescent="0.35">
      <c r="B37" s="494" t="s">
        <v>92</v>
      </c>
      <c r="C37" s="488">
        <v>43.512418448261407</v>
      </c>
      <c r="D37" s="495">
        <v>45.713071716575044</v>
      </c>
      <c r="E37" s="495">
        <v>55.936792924692583</v>
      </c>
      <c r="F37" s="495">
        <v>42.512353660000002</v>
      </c>
      <c r="G37" s="495">
        <v>54.841405017930256</v>
      </c>
      <c r="H37" s="495">
        <v>98.731506039999999</v>
      </c>
      <c r="I37" s="495">
        <v>147.06504559067184</v>
      </c>
      <c r="J37" s="495">
        <v>213.92949686999998</v>
      </c>
      <c r="K37" s="961">
        <v>212.50153094000001</v>
      </c>
      <c r="L37" s="496">
        <v>201.13426230229175</v>
      </c>
      <c r="N37" s="730"/>
      <c r="O37" s="730"/>
      <c r="Q37" s="1082"/>
    </row>
    <row r="38" spans="2:17" ht="22.5" customHeight="1" x14ac:dyDescent="0.35">
      <c r="B38" s="498" t="s">
        <v>81</v>
      </c>
      <c r="C38" s="489">
        <v>3.7714287799899191</v>
      </c>
      <c r="D38" s="499">
        <v>3.9362500060422776</v>
      </c>
      <c r="E38" s="499">
        <v>5.2495501090331018</v>
      </c>
      <c r="F38" s="499">
        <v>5.2865793499999993</v>
      </c>
      <c r="G38" s="499">
        <v>5.1514390550460734</v>
      </c>
      <c r="H38" s="499">
        <v>23.938354639999996</v>
      </c>
      <c r="I38" s="499">
        <v>47.611650559144358</v>
      </c>
      <c r="J38" s="499">
        <v>87.547989329999993</v>
      </c>
      <c r="K38" s="963">
        <v>87.590024580000005</v>
      </c>
      <c r="L38" s="500">
        <v>77.725770674381025</v>
      </c>
      <c r="N38" s="730"/>
      <c r="O38" s="730"/>
      <c r="Q38" s="1082"/>
    </row>
    <row r="39" spans="2:17" ht="22.5" customHeight="1" x14ac:dyDescent="0.35">
      <c r="B39" s="498" t="s">
        <v>82</v>
      </c>
      <c r="C39" s="489">
        <v>14.37039238424088</v>
      </c>
      <c r="D39" s="499">
        <v>12.8732856076735</v>
      </c>
      <c r="E39" s="499">
        <v>12.65448557465476</v>
      </c>
      <c r="F39" s="499">
        <v>11.10734849</v>
      </c>
      <c r="G39" s="499">
        <v>19.844733557783005</v>
      </c>
      <c r="H39" s="499">
        <v>36.385525269999995</v>
      </c>
      <c r="I39" s="499">
        <v>54.981103246499231</v>
      </c>
      <c r="J39" s="499">
        <v>62.256243320000003</v>
      </c>
      <c r="K39" s="963">
        <v>58.627375220000005</v>
      </c>
      <c r="L39" s="500">
        <v>53.164737655396259</v>
      </c>
      <c r="N39" s="730"/>
      <c r="O39" s="730"/>
      <c r="Q39" s="1082"/>
    </row>
    <row r="40" spans="2:17" ht="22.5" customHeight="1" x14ac:dyDescent="0.35">
      <c r="B40" s="514" t="s">
        <v>358</v>
      </c>
      <c r="C40" s="489">
        <v>23.039533780000003</v>
      </c>
      <c r="D40" s="499">
        <v>26.8675119</v>
      </c>
      <c r="E40" s="499">
        <v>35.853327979999996</v>
      </c>
      <c r="F40" s="499">
        <v>24.172251589999998</v>
      </c>
      <c r="G40" s="499">
        <v>28.436497849999995</v>
      </c>
      <c r="H40" s="499">
        <v>33.15088961</v>
      </c>
      <c r="I40" s="499">
        <v>34.865552629999996</v>
      </c>
      <c r="J40" s="499">
        <v>52.285695369999999</v>
      </c>
      <c r="K40" s="963">
        <v>55.908567890000008</v>
      </c>
      <c r="L40" s="500">
        <v>60.839713610000004</v>
      </c>
      <c r="N40" s="730"/>
      <c r="O40" s="730"/>
      <c r="Q40" s="1084"/>
    </row>
    <row r="41" spans="2:17" ht="22.5" customHeight="1" x14ac:dyDescent="0.35">
      <c r="B41" s="514" t="s">
        <v>357</v>
      </c>
      <c r="C41" s="489">
        <v>2.331063504030606</v>
      </c>
      <c r="D41" s="499">
        <v>2.036024202859263</v>
      </c>
      <c r="E41" s="499">
        <v>2.1794292610047279</v>
      </c>
      <c r="F41" s="499">
        <v>1.9461742300000004</v>
      </c>
      <c r="G41" s="499">
        <v>1.4087345551011836</v>
      </c>
      <c r="H41" s="499">
        <v>5.256736520000004</v>
      </c>
      <c r="I41" s="499">
        <v>9.6067391550282508</v>
      </c>
      <c r="J41" s="499">
        <v>11.839568850000006</v>
      </c>
      <c r="K41" s="963">
        <v>10.375563249999992</v>
      </c>
      <c r="L41" s="500">
        <v>9.4040403625144791</v>
      </c>
      <c r="N41" s="730"/>
      <c r="O41" s="730"/>
      <c r="Q41" s="1082"/>
    </row>
    <row r="42" spans="2:17" ht="22.5" customHeight="1" x14ac:dyDescent="0.35">
      <c r="B42" s="494" t="s">
        <v>111</v>
      </c>
      <c r="C42" s="488">
        <v>83.5766080267787</v>
      </c>
      <c r="D42" s="495">
        <v>88.190032027026561</v>
      </c>
      <c r="E42" s="495">
        <v>96.279492336131071</v>
      </c>
      <c r="F42" s="495">
        <v>83.134338659999997</v>
      </c>
      <c r="G42" s="495">
        <v>92.698054589926699</v>
      </c>
      <c r="H42" s="495">
        <v>95.049417260000013</v>
      </c>
      <c r="I42" s="495">
        <v>100.14905098526171</v>
      </c>
      <c r="J42" s="495">
        <v>119.47433590999999</v>
      </c>
      <c r="K42" s="961">
        <v>126.62842087</v>
      </c>
      <c r="L42" s="496">
        <v>128.40091372264476</v>
      </c>
      <c r="N42" s="730"/>
      <c r="O42" s="730"/>
      <c r="Q42" s="1082"/>
    </row>
    <row r="43" spans="2:17" ht="22.5" customHeight="1" x14ac:dyDescent="0.35">
      <c r="B43" s="498" t="s">
        <v>81</v>
      </c>
      <c r="C43" s="489">
        <v>8.7372009789565848</v>
      </c>
      <c r="D43" s="499">
        <v>9.0213832938005059</v>
      </c>
      <c r="E43" s="499">
        <v>8.6260988341030025</v>
      </c>
      <c r="F43" s="499">
        <v>9.5711714199999989</v>
      </c>
      <c r="G43" s="499">
        <v>9.6882259353320013</v>
      </c>
      <c r="H43" s="499">
        <v>9.94384655</v>
      </c>
      <c r="I43" s="499">
        <v>9.1339359463244829</v>
      </c>
      <c r="J43" s="499">
        <v>18.3169489</v>
      </c>
      <c r="K43" s="963">
        <v>18.849578999999999</v>
      </c>
      <c r="L43" s="500">
        <v>16.264407812284475</v>
      </c>
      <c r="N43" s="730"/>
      <c r="O43" s="730"/>
      <c r="Q43" s="1082"/>
    </row>
    <row r="44" spans="2:17" ht="22.5" customHeight="1" x14ac:dyDescent="0.35">
      <c r="B44" s="498" t="s">
        <v>82</v>
      </c>
      <c r="C44" s="489">
        <v>31.167146103113495</v>
      </c>
      <c r="D44" s="499">
        <v>29.773923200987173</v>
      </c>
      <c r="E44" s="499">
        <v>29.98218192274879</v>
      </c>
      <c r="F44" s="499">
        <v>27.2077338</v>
      </c>
      <c r="G44" s="499">
        <v>29.3481379560615</v>
      </c>
      <c r="H44" s="499">
        <v>23.279479800000001</v>
      </c>
      <c r="I44" s="499">
        <v>23.45883439483395</v>
      </c>
      <c r="J44" s="499">
        <v>25.452074459999999</v>
      </c>
      <c r="K44" s="963">
        <v>27.670031810000001</v>
      </c>
      <c r="L44" s="500">
        <v>25.331074680915535</v>
      </c>
      <c r="N44" s="730"/>
      <c r="O44" s="730"/>
      <c r="Q44" s="1082"/>
    </row>
    <row r="45" spans="2:17" ht="22.5" customHeight="1" x14ac:dyDescent="0.35">
      <c r="B45" s="514" t="s">
        <v>358</v>
      </c>
      <c r="C45" s="489">
        <v>39.813407809999994</v>
      </c>
      <c r="D45" s="499">
        <v>45.805387109999991</v>
      </c>
      <c r="E45" s="499">
        <v>54.200532409999987</v>
      </c>
      <c r="F45" s="499">
        <v>43.193149389999981</v>
      </c>
      <c r="G45" s="499">
        <v>50.632030970000002</v>
      </c>
      <c r="H45" s="499">
        <v>59.333304890000008</v>
      </c>
      <c r="I45" s="499">
        <v>65.360609110000027</v>
      </c>
      <c r="J45" s="499">
        <v>70.991802629999995</v>
      </c>
      <c r="K45" s="963">
        <v>75.343155370000005</v>
      </c>
      <c r="L45" s="500">
        <v>82.248246980000019</v>
      </c>
      <c r="N45" s="730"/>
      <c r="O45" s="730"/>
      <c r="Q45" s="1082"/>
    </row>
    <row r="46" spans="2:17" ht="22.5" customHeight="1" x14ac:dyDescent="0.35">
      <c r="B46" s="514" t="s">
        <v>357</v>
      </c>
      <c r="C46" s="489">
        <v>3.8588531347086246</v>
      </c>
      <c r="D46" s="499">
        <v>3.589338422238896</v>
      </c>
      <c r="E46" s="499">
        <v>3.4706791692793004</v>
      </c>
      <c r="F46" s="499">
        <v>3.162284050000018</v>
      </c>
      <c r="G46" s="499">
        <v>3.0296597285331899</v>
      </c>
      <c r="H46" s="499">
        <v>2.4927860199999969</v>
      </c>
      <c r="I46" s="499">
        <v>2.1956715341032407</v>
      </c>
      <c r="J46" s="499">
        <v>4.713509920000007</v>
      </c>
      <c r="K46" s="963">
        <v>4.765654689999991</v>
      </c>
      <c r="L46" s="500">
        <v>4.5571842494447168</v>
      </c>
      <c r="N46" s="730"/>
      <c r="O46" s="730"/>
      <c r="Q46" s="1082"/>
    </row>
    <row r="47" spans="2:17" ht="22.5" customHeight="1" x14ac:dyDescent="0.35">
      <c r="B47" s="494" t="s">
        <v>93</v>
      </c>
      <c r="C47" s="488">
        <v>783.85182262621163</v>
      </c>
      <c r="D47" s="495">
        <v>742.87991656769009</v>
      </c>
      <c r="E47" s="495">
        <v>774.10436867193494</v>
      </c>
      <c r="F47" s="495">
        <v>690.85636356999998</v>
      </c>
      <c r="G47" s="495">
        <v>704.43424618841595</v>
      </c>
      <c r="H47" s="495">
        <v>736.55478313999993</v>
      </c>
      <c r="I47" s="495">
        <v>790.57669581268021</v>
      </c>
      <c r="J47" s="495">
        <v>736.94933149000008</v>
      </c>
      <c r="K47" s="961">
        <v>757.38991083999986</v>
      </c>
      <c r="L47" s="496">
        <v>801.64390557436104</v>
      </c>
      <c r="N47" s="730"/>
      <c r="O47" s="730"/>
      <c r="Q47" s="1082"/>
    </row>
    <row r="48" spans="2:17" ht="22.5" customHeight="1" x14ac:dyDescent="0.35">
      <c r="B48" s="498" t="s">
        <v>81</v>
      </c>
      <c r="C48" s="489">
        <v>49.049189248969803</v>
      </c>
      <c r="D48" s="499">
        <v>49.231046800006077</v>
      </c>
      <c r="E48" s="499">
        <v>47.376979724721444</v>
      </c>
      <c r="F48" s="499">
        <v>51.889076129999999</v>
      </c>
      <c r="G48" s="499">
        <v>51.360903752603349</v>
      </c>
      <c r="H48" s="499">
        <v>68.063335749999993</v>
      </c>
      <c r="I48" s="499">
        <v>93.845472651825631</v>
      </c>
      <c r="J48" s="499">
        <v>150.41740125999999</v>
      </c>
      <c r="K48" s="963">
        <v>151.28153443999997</v>
      </c>
      <c r="L48" s="500">
        <v>140.18246661601282</v>
      </c>
      <c r="N48" s="730"/>
      <c r="O48" s="730"/>
      <c r="P48" s="730"/>
      <c r="Q48" s="1082"/>
    </row>
    <row r="49" spans="2:17" ht="22.5" customHeight="1" x14ac:dyDescent="0.35">
      <c r="B49" s="498" t="s">
        <v>82</v>
      </c>
      <c r="C49" s="489">
        <v>104.53043349516282</v>
      </c>
      <c r="D49" s="499">
        <v>101.40764619535264</v>
      </c>
      <c r="E49" s="499">
        <v>94.665762776707453</v>
      </c>
      <c r="F49" s="499">
        <v>78.445977769999999</v>
      </c>
      <c r="G49" s="499">
        <v>92.381673280400335</v>
      </c>
      <c r="H49" s="499">
        <v>102.40697113</v>
      </c>
      <c r="I49" s="499">
        <v>119.54562325256857</v>
      </c>
      <c r="J49" s="499">
        <v>127.64040052999998</v>
      </c>
      <c r="K49" s="963">
        <v>133.73698569000001</v>
      </c>
      <c r="L49" s="500">
        <v>147.34635834971732</v>
      </c>
      <c r="N49" s="730"/>
      <c r="O49" s="730"/>
      <c r="P49" s="730"/>
      <c r="Q49" s="1082"/>
    </row>
    <row r="50" spans="2:17" ht="22.5" customHeight="1" x14ac:dyDescent="0.35">
      <c r="B50" s="514" t="s">
        <v>358</v>
      </c>
      <c r="C50" s="489">
        <v>620.35110834</v>
      </c>
      <c r="D50" s="499">
        <v>582.6822159100002</v>
      </c>
      <c r="E50" s="499">
        <v>622.89508124999975</v>
      </c>
      <c r="F50" s="499">
        <v>552.16834946999984</v>
      </c>
      <c r="G50" s="499">
        <v>553.27431201000013</v>
      </c>
      <c r="H50" s="499">
        <v>555.36146667000003</v>
      </c>
      <c r="I50" s="499">
        <v>562.28916762000006</v>
      </c>
      <c r="J50" s="499">
        <v>438.35083256999991</v>
      </c>
      <c r="K50" s="963">
        <v>453.05130886000001</v>
      </c>
      <c r="L50" s="500">
        <v>495.86319810999998</v>
      </c>
      <c r="N50" s="730"/>
      <c r="O50" s="730"/>
      <c r="P50" s="730"/>
      <c r="Q50" s="1084"/>
    </row>
    <row r="51" spans="2:17" ht="22.5" customHeight="1" x14ac:dyDescent="0.35">
      <c r="B51" s="524" t="s">
        <v>357</v>
      </c>
      <c r="C51" s="525">
        <v>9.9210915420790116</v>
      </c>
      <c r="D51" s="526">
        <v>9.5590076623311688</v>
      </c>
      <c r="E51" s="526">
        <v>9.1665449205062259</v>
      </c>
      <c r="F51" s="526">
        <v>8.3529602000000978</v>
      </c>
      <c r="G51" s="526">
        <v>7.4173571454120975</v>
      </c>
      <c r="H51" s="526">
        <v>10.723009589999833</v>
      </c>
      <c r="I51" s="526">
        <v>14.896432288285951</v>
      </c>
      <c r="J51" s="526">
        <v>20.540697130000183</v>
      </c>
      <c r="K51" s="964">
        <v>19.320081849999895</v>
      </c>
      <c r="L51" s="527">
        <v>18.251882498630948</v>
      </c>
      <c r="N51" s="730"/>
      <c r="O51" s="730"/>
      <c r="Q51" s="1082"/>
    </row>
    <row r="52" spans="2:17" ht="15" customHeight="1" x14ac:dyDescent="0.35">
      <c r="B52" s="520"/>
      <c r="C52" s="521"/>
      <c r="D52" s="521"/>
      <c r="E52" s="521"/>
      <c r="F52" s="521"/>
      <c r="G52" s="521"/>
      <c r="H52" s="521"/>
      <c r="I52" s="521"/>
      <c r="J52" s="521"/>
      <c r="K52" s="521"/>
      <c r="L52" s="521"/>
      <c r="O52" s="90"/>
    </row>
    <row r="53" spans="2:17" ht="15" customHeight="1" x14ac:dyDescent="0.35">
      <c r="B53" s="114" t="s">
        <v>652</v>
      </c>
      <c r="C53" s="521"/>
      <c r="D53" s="521"/>
      <c r="E53" s="521"/>
      <c r="F53" s="521"/>
      <c r="G53" s="521"/>
      <c r="H53" s="521"/>
      <c r="I53" s="521"/>
      <c r="J53" s="521"/>
      <c r="K53" s="521"/>
      <c r="L53" s="521"/>
    </row>
    <row r="54" spans="2:17" ht="24.75" customHeight="1" x14ac:dyDescent="0.35">
      <c r="B54" s="1110" t="s">
        <v>653</v>
      </c>
      <c r="C54" s="1111"/>
      <c r="D54" s="1111"/>
      <c r="E54" s="1111"/>
      <c r="F54" s="1111"/>
      <c r="G54"/>
      <c r="H54"/>
      <c r="I54"/>
      <c r="J54"/>
      <c r="K54"/>
      <c r="L54" s="521"/>
    </row>
    <row r="55" spans="2:17" ht="24.75" customHeight="1" x14ac:dyDescent="0.35">
      <c r="B55" s="1101" t="s">
        <v>672</v>
      </c>
      <c r="C55" s="1101"/>
      <c r="D55" s="1101"/>
      <c r="E55" s="1101"/>
      <c r="F55" s="1101"/>
      <c r="G55" s="1101"/>
      <c r="H55" s="1101"/>
      <c r="I55" s="1101"/>
      <c r="J55" s="1101"/>
      <c r="K55" s="1101"/>
      <c r="L55" s="1101"/>
    </row>
    <row r="56" spans="2:17" ht="15" customHeight="1" x14ac:dyDescent="0.35">
      <c r="B56" s="520"/>
      <c r="C56" s="521"/>
      <c r="D56" s="521"/>
      <c r="E56" s="521"/>
      <c r="F56" s="521"/>
      <c r="G56" s="521"/>
      <c r="H56" s="521"/>
      <c r="I56" s="521"/>
      <c r="J56" s="521"/>
      <c r="K56" s="521"/>
      <c r="L56" s="521"/>
    </row>
    <row r="57" spans="2:17" ht="15" customHeight="1" x14ac:dyDescent="0.35">
      <c r="B57" s="522"/>
      <c r="C57" s="523"/>
      <c r="D57" s="523"/>
      <c r="E57" s="523"/>
      <c r="F57" s="523"/>
      <c r="G57" s="523"/>
      <c r="H57" s="523"/>
      <c r="I57" s="523"/>
      <c r="J57" s="523"/>
      <c r="K57" s="523"/>
      <c r="L57" s="523"/>
    </row>
  </sheetData>
  <mergeCells count="3">
    <mergeCell ref="B5:L5"/>
    <mergeCell ref="B54:F54"/>
    <mergeCell ref="B55:L55"/>
  </mergeCells>
  <hyperlinks>
    <hyperlink ref="L2" location="'Cover '!A1" display="Back to Cover" xr:uid="{A03E5750-6E5F-42BD-A123-1328716236C3}"/>
  </hyperlinks>
  <pageMargins left="0.7" right="0.7" top="0.75" bottom="0.75" header="0.3" footer="0.3"/>
  <pageSetup scale="43"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ADBD6-8B84-4297-AD6B-29FEA0767081}">
  <sheetPr codeName="Foglio8">
    <pageSetUpPr fitToPage="1"/>
  </sheetPr>
  <dimension ref="A1:Q36"/>
  <sheetViews>
    <sheetView showGridLines="0" view="pageBreakPreview" zoomScale="90" zoomScaleNormal="85" zoomScaleSheetLayoutView="90" workbookViewId="0">
      <selection activeCell="B5" sqref="B5:L5"/>
    </sheetView>
  </sheetViews>
  <sheetFormatPr defaultColWidth="9.140625" defaultRowHeight="15" customHeight="1" x14ac:dyDescent="0.2"/>
  <cols>
    <col min="1" max="1" width="2.42578125" style="20" customWidth="1"/>
    <col min="2" max="2" width="39.5703125" style="20" customWidth="1"/>
    <col min="3" max="12" width="14.5703125" style="22" customWidth="1"/>
    <col min="13" max="13" width="2.42578125" style="20" customWidth="1"/>
    <col min="14" max="16384" width="9.140625" style="20"/>
  </cols>
  <sheetData>
    <row r="1" spans="1:17" s="23" customFormat="1" ht="15.75" customHeight="1" x14ac:dyDescent="0.35">
      <c r="B1" s="481"/>
      <c r="C1" s="481"/>
      <c r="D1" s="481"/>
      <c r="E1" s="481"/>
      <c r="F1" s="481"/>
      <c r="G1" s="481"/>
      <c r="H1" s="481"/>
      <c r="I1" s="481"/>
      <c r="J1" s="481"/>
      <c r="K1" s="481"/>
      <c r="L1" s="481"/>
    </row>
    <row r="2" spans="1:17" s="23" customFormat="1" ht="15.75" customHeight="1" x14ac:dyDescent="0.35">
      <c r="B2" s="481"/>
      <c r="C2" s="506"/>
      <c r="D2" s="506"/>
      <c r="E2" s="506"/>
      <c r="F2" s="506"/>
      <c r="G2" s="506"/>
      <c r="H2" s="506"/>
      <c r="I2" s="506"/>
      <c r="J2" s="506"/>
      <c r="K2" s="506"/>
      <c r="L2" s="482" t="s">
        <v>18</v>
      </c>
    </row>
    <row r="3" spans="1:17" s="23" customFormat="1" ht="15.75" customHeight="1" x14ac:dyDescent="0.35">
      <c r="B3" s="481"/>
      <c r="C3" s="481"/>
      <c r="D3" s="481"/>
      <c r="E3" s="481"/>
      <c r="F3" s="481"/>
      <c r="G3" s="481"/>
      <c r="H3" s="481"/>
      <c r="I3" s="481"/>
      <c r="J3" s="481"/>
      <c r="K3" s="481"/>
      <c r="L3" s="481"/>
    </row>
    <row r="4" spans="1:17" s="24" customFormat="1" ht="15.75" customHeight="1" x14ac:dyDescent="0.3">
      <c r="B4" s="483"/>
      <c r="C4" s="483"/>
      <c r="D4" s="483"/>
      <c r="E4" s="483"/>
      <c r="F4" s="483"/>
      <c r="G4" s="483"/>
      <c r="H4" s="483"/>
      <c r="I4" s="483"/>
      <c r="J4" s="483"/>
      <c r="K4" s="483"/>
      <c r="L4" s="483"/>
    </row>
    <row r="5" spans="1:17" ht="28.5" x14ac:dyDescent="0.2">
      <c r="A5" s="16"/>
      <c r="B5" s="1112" t="s">
        <v>109</v>
      </c>
      <c r="C5" s="1112"/>
      <c r="D5" s="1112"/>
      <c r="E5" s="1112"/>
      <c r="F5" s="1112"/>
      <c r="G5" s="1112"/>
      <c r="H5" s="1112"/>
      <c r="I5" s="1112"/>
      <c r="J5" s="1112"/>
      <c r="K5" s="1112"/>
      <c r="L5" s="1112"/>
    </row>
    <row r="6" spans="1:17" ht="9" customHeight="1" x14ac:dyDescent="0.2">
      <c r="A6" s="16"/>
      <c r="B6" s="117"/>
      <c r="C6" s="117"/>
      <c r="D6" s="117"/>
      <c r="E6" s="117"/>
      <c r="F6" s="117"/>
      <c r="G6" s="117"/>
      <c r="H6" s="117"/>
      <c r="I6" s="117"/>
      <c r="J6" s="117"/>
      <c r="K6" s="117"/>
      <c r="L6" s="117"/>
    </row>
    <row r="7" spans="1:17" ht="11.25" customHeight="1" x14ac:dyDescent="0.2">
      <c r="A7" s="18"/>
      <c r="B7" s="438"/>
      <c r="C7" s="438"/>
      <c r="D7" s="438"/>
      <c r="E7" s="438"/>
      <c r="F7" s="438"/>
      <c r="G7" s="438"/>
      <c r="H7" s="438"/>
      <c r="I7" s="438"/>
      <c r="J7" s="438"/>
      <c r="K7" s="438"/>
      <c r="L7" s="438"/>
    </row>
    <row r="8" spans="1:17" s="23" customFormat="1" ht="11.25" customHeight="1" x14ac:dyDescent="0.35">
      <c r="B8" s="481"/>
      <c r="C8" s="484"/>
      <c r="D8" s="484"/>
      <c r="E8" s="484"/>
      <c r="F8" s="484"/>
      <c r="G8" s="484"/>
      <c r="H8" s="484"/>
      <c r="I8" s="484"/>
      <c r="J8" s="484"/>
      <c r="K8" s="484"/>
      <c r="L8" s="484"/>
    </row>
    <row r="9" spans="1:17" s="23" customFormat="1" ht="34.5" customHeight="1" x14ac:dyDescent="0.25">
      <c r="B9" s="532" t="s">
        <v>66</v>
      </c>
      <c r="C9" s="492" t="s">
        <v>255</v>
      </c>
      <c r="D9" s="492" t="s">
        <v>337</v>
      </c>
      <c r="E9" s="492" t="s">
        <v>372</v>
      </c>
      <c r="F9" s="492" t="s">
        <v>387</v>
      </c>
      <c r="G9" s="492" t="s">
        <v>412</v>
      </c>
      <c r="H9" s="492" t="s">
        <v>422</v>
      </c>
      <c r="I9" s="492" t="s">
        <v>461</v>
      </c>
      <c r="J9" s="492" t="s">
        <v>523</v>
      </c>
      <c r="K9" s="505" t="s">
        <v>646</v>
      </c>
      <c r="L9" s="493" t="s">
        <v>664</v>
      </c>
      <c r="Q9" s="64"/>
    </row>
    <row r="10" spans="1:17" s="25" customFormat="1" ht="20.25" customHeight="1" x14ac:dyDescent="0.35">
      <c r="B10" s="516"/>
      <c r="C10" s="488"/>
      <c r="D10" s="495"/>
      <c r="E10" s="495"/>
      <c r="F10" s="495"/>
      <c r="G10" s="495"/>
      <c r="H10" s="495"/>
      <c r="I10" s="495"/>
      <c r="J10" s="495"/>
      <c r="K10" s="961"/>
      <c r="L10" s="496"/>
      <c r="Q10" s="65"/>
    </row>
    <row r="11" spans="1:17" s="25" customFormat="1" ht="20.25" customHeight="1" x14ac:dyDescent="0.35">
      <c r="B11" s="517" t="s">
        <v>149</v>
      </c>
      <c r="C11" s="528">
        <v>1329.3203579900003</v>
      </c>
      <c r="D11" s="495">
        <f t="shared" ref="D11:H11" si="0">C28</f>
        <v>1302.6423571399996</v>
      </c>
      <c r="E11" s="495">
        <f t="shared" si="0"/>
        <v>1263.5071478100012</v>
      </c>
      <c r="F11" s="495">
        <f t="shared" si="0"/>
        <v>1261.8381047699991</v>
      </c>
      <c r="G11" s="495">
        <f t="shared" si="0"/>
        <v>1067.9918054000004</v>
      </c>
      <c r="H11" s="495">
        <f t="shared" si="0"/>
        <v>1097.1468719499992</v>
      </c>
      <c r="I11" s="495">
        <f>H28</f>
        <v>1086.2168719499994</v>
      </c>
      <c r="J11" s="495">
        <f>I28</f>
        <v>1088.3768719499994</v>
      </c>
      <c r="K11" s="961">
        <f>J28</f>
        <v>898.86687194999945</v>
      </c>
      <c r="L11" s="533">
        <f>K28</f>
        <v>929.65687194999953</v>
      </c>
      <c r="Q11" s="65"/>
    </row>
    <row r="12" spans="1:17" s="25" customFormat="1" ht="20.25" customHeight="1" x14ac:dyDescent="0.35">
      <c r="B12" s="517"/>
      <c r="C12" s="529"/>
      <c r="D12" s="534"/>
      <c r="E12" s="534"/>
      <c r="F12" s="534"/>
      <c r="G12" s="534"/>
      <c r="H12" s="534"/>
      <c r="I12" s="534"/>
      <c r="J12" s="534"/>
      <c r="K12" s="962"/>
      <c r="L12" s="535"/>
      <c r="Q12" s="65"/>
    </row>
    <row r="13" spans="1:17" s="25" customFormat="1" ht="20.25" customHeight="1" x14ac:dyDescent="0.35">
      <c r="B13" s="536" t="s">
        <v>53</v>
      </c>
      <c r="C13" s="528">
        <v>16.809999999999999</v>
      </c>
      <c r="D13" s="495">
        <v>13.64</v>
      </c>
      <c r="E13" s="495">
        <v>9.76</v>
      </c>
      <c r="F13" s="495">
        <v>15.09</v>
      </c>
      <c r="G13" s="495">
        <v>8.1</v>
      </c>
      <c r="H13" s="495">
        <v>3.64</v>
      </c>
      <c r="I13" s="495">
        <v>6.6</v>
      </c>
      <c r="J13" s="495">
        <v>5.15</v>
      </c>
      <c r="K13" s="961">
        <v>4.9400000000000004</v>
      </c>
      <c r="L13" s="533">
        <v>3.53</v>
      </c>
      <c r="Q13" s="65"/>
    </row>
    <row r="14" spans="1:17" s="25" customFormat="1" ht="20.25" customHeight="1" x14ac:dyDescent="0.35">
      <c r="B14" s="536" t="s">
        <v>54</v>
      </c>
      <c r="C14" s="528">
        <v>67.61</v>
      </c>
      <c r="D14" s="495">
        <v>78</v>
      </c>
      <c r="E14" s="495">
        <v>51.93</v>
      </c>
      <c r="F14" s="495">
        <v>99.89</v>
      </c>
      <c r="G14" s="495">
        <v>80.45</v>
      </c>
      <c r="H14" s="495">
        <v>58.260000000000005</v>
      </c>
      <c r="I14" s="495">
        <v>47.11</v>
      </c>
      <c r="J14" s="495">
        <v>74.650000000000006</v>
      </c>
      <c r="K14" s="961">
        <v>86.080000000000013</v>
      </c>
      <c r="L14" s="533">
        <v>137.6</v>
      </c>
      <c r="O14" s="846"/>
      <c r="Q14" s="65"/>
    </row>
    <row r="15" spans="1:17" s="25" customFormat="1" ht="20.25" customHeight="1" x14ac:dyDescent="0.35">
      <c r="B15" s="536" t="s">
        <v>145</v>
      </c>
      <c r="C15" s="528">
        <f t="shared" ref="C15:H15" si="1">C13+C14</f>
        <v>84.42</v>
      </c>
      <c r="D15" s="495">
        <f t="shared" si="1"/>
        <v>91.64</v>
      </c>
      <c r="E15" s="495">
        <f t="shared" si="1"/>
        <v>61.69</v>
      </c>
      <c r="F15" s="495">
        <f t="shared" si="1"/>
        <v>114.98</v>
      </c>
      <c r="G15" s="495">
        <f t="shared" si="1"/>
        <v>88.55</v>
      </c>
      <c r="H15" s="495">
        <f t="shared" si="1"/>
        <v>61.900000000000006</v>
      </c>
      <c r="I15" s="495">
        <f t="shared" ref="I15" si="2">I13+I14</f>
        <v>53.71</v>
      </c>
      <c r="J15" s="495">
        <f>J13+J14</f>
        <v>79.800000000000011</v>
      </c>
      <c r="K15" s="961">
        <f>K13+K14</f>
        <v>91.02000000000001</v>
      </c>
      <c r="L15" s="533">
        <f>L13+L14</f>
        <v>141.13</v>
      </c>
      <c r="Q15" s="65"/>
    </row>
    <row r="16" spans="1:17" s="25" customFormat="1" ht="20.25" customHeight="1" x14ac:dyDescent="0.35">
      <c r="B16" s="537" t="s">
        <v>146</v>
      </c>
      <c r="C16" s="530">
        <v>35.56</v>
      </c>
      <c r="D16" s="499">
        <v>30.17</v>
      </c>
      <c r="E16" s="499">
        <v>18.18</v>
      </c>
      <c r="F16" s="499">
        <v>77.36</v>
      </c>
      <c r="G16" s="499">
        <v>36.46</v>
      </c>
      <c r="H16" s="499">
        <v>25.14</v>
      </c>
      <c r="I16" s="499">
        <v>18.329999999999998</v>
      </c>
      <c r="J16" s="499">
        <v>35.580000000000005</v>
      </c>
      <c r="K16" s="963">
        <v>47.35</v>
      </c>
      <c r="L16" s="538">
        <v>88.690000000000012</v>
      </c>
      <c r="Q16" s="65"/>
    </row>
    <row r="17" spans="2:17" s="25" customFormat="1" ht="20.25" customHeight="1" x14ac:dyDescent="0.35">
      <c r="B17" s="537" t="s">
        <v>483</v>
      </c>
      <c r="C17" s="530">
        <v>33.630000000000003</v>
      </c>
      <c r="D17" s="499">
        <v>44.199999999999996</v>
      </c>
      <c r="E17" s="499">
        <v>28.01</v>
      </c>
      <c r="F17" s="499">
        <v>24.21</v>
      </c>
      <c r="G17" s="499">
        <v>36.160000000000004</v>
      </c>
      <c r="H17" s="499">
        <v>22.990000000000002</v>
      </c>
      <c r="I17" s="499">
        <v>22.490000000000002</v>
      </c>
      <c r="J17" s="499">
        <v>30.980000000000004</v>
      </c>
      <c r="K17" s="963">
        <v>30.970000000000006</v>
      </c>
      <c r="L17" s="538">
        <v>38.58</v>
      </c>
      <c r="Q17" s="65"/>
    </row>
    <row r="18" spans="2:17" s="25" customFormat="1" ht="20.25" customHeight="1" x14ac:dyDescent="0.35">
      <c r="B18" s="537" t="s">
        <v>148</v>
      </c>
      <c r="C18" s="530">
        <v>15.22</v>
      </c>
      <c r="D18" s="499">
        <v>17.259999999999998</v>
      </c>
      <c r="E18" s="499">
        <v>15.48</v>
      </c>
      <c r="F18" s="499">
        <v>13.41</v>
      </c>
      <c r="G18" s="499">
        <v>15.92</v>
      </c>
      <c r="H18" s="499">
        <v>13.76</v>
      </c>
      <c r="I18" s="499">
        <v>12.89</v>
      </c>
      <c r="J18" s="499">
        <v>13.24</v>
      </c>
      <c r="K18" s="963">
        <v>12.700000000000001</v>
      </c>
      <c r="L18" s="538">
        <v>13.879999999999999</v>
      </c>
      <c r="Q18" s="65"/>
    </row>
    <row r="19" spans="2:17" s="25" customFormat="1" ht="20.25" customHeight="1" x14ac:dyDescent="0.35">
      <c r="B19" s="537"/>
      <c r="C19" s="529"/>
      <c r="D19" s="534"/>
      <c r="E19" s="534"/>
      <c r="F19" s="534"/>
      <c r="G19" s="534"/>
      <c r="H19" s="534"/>
      <c r="I19" s="534"/>
      <c r="J19" s="534"/>
      <c r="K19" s="962"/>
      <c r="L19" s="535"/>
      <c r="Q19" s="65"/>
    </row>
    <row r="20" spans="2:17" s="25" customFormat="1" ht="20.25" customHeight="1" x14ac:dyDescent="0.35">
      <c r="B20" s="536" t="s">
        <v>57</v>
      </c>
      <c r="C20" s="528">
        <v>-58.239999999999839</v>
      </c>
      <c r="D20" s="495">
        <v>-117.54000000000011</v>
      </c>
      <c r="E20" s="495">
        <v>-57.430000000000071</v>
      </c>
      <c r="F20" s="495">
        <v>-56.499999999999915</v>
      </c>
      <c r="G20" s="495">
        <v>-56.279999999999923</v>
      </c>
      <c r="H20" s="495">
        <v>-53.730000000000068</v>
      </c>
      <c r="I20" s="495">
        <v>-49.789999999999921</v>
      </c>
      <c r="J20" s="495">
        <v>-116.4400000000001</v>
      </c>
      <c r="K20" s="961">
        <v>-58.979999999999919</v>
      </c>
      <c r="L20" s="533">
        <v>-55.320000000000064</v>
      </c>
      <c r="O20" s="846"/>
      <c r="Q20" s="65"/>
    </row>
    <row r="21" spans="2:17" s="25" customFormat="1" ht="20.25" customHeight="1" x14ac:dyDescent="0.35">
      <c r="B21" s="537" t="s">
        <v>146</v>
      </c>
      <c r="C21" s="530">
        <v>-30.169999999999966</v>
      </c>
      <c r="D21" s="499">
        <v>-89.77</v>
      </c>
      <c r="E21" s="499">
        <v>-37.47</v>
      </c>
      <c r="F21" s="499">
        <v>-34.640000000000029</v>
      </c>
      <c r="G21" s="499">
        <v>-37.349999999999966</v>
      </c>
      <c r="H21" s="499">
        <v>-30.39000000000004</v>
      </c>
      <c r="I21" s="499">
        <v>-26.370000000000029</v>
      </c>
      <c r="J21" s="499">
        <v>-96.550000000000011</v>
      </c>
      <c r="K21" s="963">
        <v>-35.309999999999938</v>
      </c>
      <c r="L21" s="538">
        <v>-25.210000000000047</v>
      </c>
      <c r="Q21" s="65"/>
    </row>
    <row r="22" spans="2:17" s="25" customFormat="1" ht="20.25" customHeight="1" x14ac:dyDescent="0.35">
      <c r="B22" s="537" t="s">
        <v>147</v>
      </c>
      <c r="C22" s="530">
        <v>-20.429999999999989</v>
      </c>
      <c r="D22" s="499">
        <v>-20.590000000000028</v>
      </c>
      <c r="E22" s="499">
        <v>-14.619999999999976</v>
      </c>
      <c r="F22" s="499">
        <v>-17.249999999999996</v>
      </c>
      <c r="G22" s="499">
        <v>-13.15000000000002</v>
      </c>
      <c r="H22" s="499">
        <v>-16.839999999999986</v>
      </c>
      <c r="I22" s="499">
        <v>-16.930000000000028</v>
      </c>
      <c r="J22" s="499">
        <v>-13.17999999999997</v>
      </c>
      <c r="K22" s="963">
        <v>-16.740000000000041</v>
      </c>
      <c r="L22" s="538">
        <v>-24.459999999999958</v>
      </c>
      <c r="Q22" s="65"/>
    </row>
    <row r="23" spans="2:17" s="25" customFormat="1" ht="20.25" customHeight="1" x14ac:dyDescent="0.35">
      <c r="B23" s="537" t="s">
        <v>148</v>
      </c>
      <c r="C23" s="530">
        <v>-7.6200000000000019</v>
      </c>
      <c r="D23" s="499">
        <v>-7.1799999999999988</v>
      </c>
      <c r="E23" s="499">
        <v>-5.3300000000000036</v>
      </c>
      <c r="F23" s="499">
        <v>-4.5999999999999908</v>
      </c>
      <c r="G23" s="499">
        <v>-5.800000000000006</v>
      </c>
      <c r="H23" s="499">
        <v>-6.4899999999999993</v>
      </c>
      <c r="I23" s="499">
        <v>-6.480000000000004</v>
      </c>
      <c r="J23" s="499">
        <v>-6.7099999999999982</v>
      </c>
      <c r="K23" s="963">
        <v>-6.9299999999999971</v>
      </c>
      <c r="L23" s="538">
        <v>-5.6700000000000008</v>
      </c>
      <c r="O23" s="48"/>
      <c r="Q23" s="65"/>
    </row>
    <row r="24" spans="2:17" s="25" customFormat="1" ht="20.25" customHeight="1" x14ac:dyDescent="0.35">
      <c r="B24" s="537"/>
      <c r="C24" s="529"/>
      <c r="D24" s="534"/>
      <c r="E24" s="534"/>
      <c r="F24" s="534"/>
      <c r="G24" s="534"/>
      <c r="H24" s="534"/>
      <c r="I24" s="534"/>
      <c r="J24" s="534"/>
      <c r="K24" s="962"/>
      <c r="L24" s="535"/>
      <c r="Q24" s="65"/>
    </row>
    <row r="25" spans="2:17" s="25" customFormat="1" ht="20.25" customHeight="1" x14ac:dyDescent="0.35">
      <c r="B25" s="517" t="s">
        <v>56</v>
      </c>
      <c r="C25" s="528">
        <v>-26.32</v>
      </c>
      <c r="D25" s="495">
        <v>-12.8</v>
      </c>
      <c r="E25" s="495">
        <v>-6.03</v>
      </c>
      <c r="F25" s="495">
        <v>-18.72</v>
      </c>
      <c r="G25" s="495">
        <v>-7.86</v>
      </c>
      <c r="H25" s="495">
        <v>-17.8</v>
      </c>
      <c r="I25" s="495">
        <v>-0.84</v>
      </c>
      <c r="J25" s="495">
        <v>-18.829999999999998</v>
      </c>
      <c r="K25" s="961">
        <v>-1.25</v>
      </c>
      <c r="L25" s="533">
        <v>-4.2300000000000004</v>
      </c>
      <c r="Q25" s="65"/>
    </row>
    <row r="26" spans="2:17" s="25" customFormat="1" ht="20.25" customHeight="1" x14ac:dyDescent="0.35">
      <c r="B26" s="517" t="s">
        <v>609</v>
      </c>
      <c r="C26" s="528">
        <v>-26.54</v>
      </c>
      <c r="D26" s="495">
        <v>-0.43</v>
      </c>
      <c r="E26" s="495">
        <v>0.1</v>
      </c>
      <c r="F26" s="495">
        <v>-233.61</v>
      </c>
      <c r="G26" s="495">
        <v>4.75</v>
      </c>
      <c r="H26" s="495">
        <v>-1.3</v>
      </c>
      <c r="I26" s="495">
        <v>-0.92</v>
      </c>
      <c r="J26" s="495">
        <v>-134.04</v>
      </c>
      <c r="K26" s="961">
        <v>0</v>
      </c>
      <c r="L26" s="533">
        <v>0</v>
      </c>
      <c r="Q26" s="65"/>
    </row>
    <row r="27" spans="2:17" s="25" customFormat="1" ht="20.25" customHeight="1" x14ac:dyDescent="0.35">
      <c r="B27" s="517"/>
      <c r="C27" s="489"/>
      <c r="D27" s="499"/>
      <c r="E27" s="499"/>
      <c r="F27" s="499"/>
      <c r="G27" s="499"/>
      <c r="H27" s="499"/>
      <c r="I27" s="499"/>
      <c r="J27" s="499"/>
      <c r="K27" s="963"/>
      <c r="L27" s="500"/>
    </row>
    <row r="28" spans="2:17" s="25" customFormat="1" ht="20.25" customHeight="1" x14ac:dyDescent="0.35">
      <c r="B28" s="517" t="s">
        <v>55</v>
      </c>
      <c r="C28" s="488">
        <v>1302.6423571399996</v>
      </c>
      <c r="D28" s="495">
        <v>1263.5071478100012</v>
      </c>
      <c r="E28" s="495">
        <v>1261.8381047699991</v>
      </c>
      <c r="F28" s="495">
        <v>1067.9918054000004</v>
      </c>
      <c r="G28" s="495">
        <v>1097.1468719499992</v>
      </c>
      <c r="H28" s="495">
        <f>H11+H15+H20+H25+H26</f>
        <v>1086.2168719499994</v>
      </c>
      <c r="I28" s="495">
        <f>I11+I15+I20+I25+I26</f>
        <v>1088.3768719499994</v>
      </c>
      <c r="J28" s="495">
        <f>J11+J15+J20+J25+J26</f>
        <v>898.86687194999945</v>
      </c>
      <c r="K28" s="961">
        <f>K11+K15+K20+K25+K26</f>
        <v>929.65687194999953</v>
      </c>
      <c r="L28" s="496">
        <f>L11+L15+L20+L25+L26</f>
        <v>1011.2368719499995</v>
      </c>
    </row>
    <row r="29" spans="2:17" s="25" customFormat="1" ht="20.25" customHeight="1" x14ac:dyDescent="0.35">
      <c r="B29" s="539"/>
      <c r="C29" s="540"/>
      <c r="D29" s="541"/>
      <c r="E29" s="541"/>
      <c r="F29" s="541"/>
      <c r="G29" s="541"/>
      <c r="H29" s="541"/>
      <c r="I29" s="541"/>
      <c r="J29" s="541"/>
      <c r="K29" s="673"/>
      <c r="L29" s="542"/>
    </row>
    <row r="30" spans="2:17" s="26" customFormat="1" ht="11.25" customHeight="1" x14ac:dyDescent="0.35">
      <c r="B30" s="531"/>
      <c r="C30" s="519"/>
      <c r="D30" s="519"/>
      <c r="E30" s="519"/>
      <c r="F30" s="519"/>
      <c r="G30" s="519"/>
      <c r="H30" s="785"/>
      <c r="I30" s="519"/>
      <c r="J30" s="519"/>
      <c r="K30" s="519"/>
      <c r="L30" s="512"/>
    </row>
    <row r="31" spans="2:17" s="26" customFormat="1" ht="18.75" customHeight="1" x14ac:dyDescent="0.35">
      <c r="B31" s="661"/>
      <c r="C31" s="512"/>
      <c r="D31" s="512"/>
      <c r="E31" s="512"/>
      <c r="F31" s="512"/>
      <c r="G31" s="512"/>
      <c r="H31" s="512"/>
      <c r="I31" s="512"/>
      <c r="J31" s="512"/>
      <c r="K31" s="512"/>
      <c r="L31" s="512"/>
    </row>
    <row r="32" spans="2:17" s="26" customFormat="1" ht="18.75" customHeight="1" x14ac:dyDescent="0.35">
      <c r="B32" s="114" t="s">
        <v>687</v>
      </c>
      <c r="C32" s="512"/>
      <c r="D32" s="512"/>
      <c r="E32" s="512"/>
      <c r="F32" s="512"/>
      <c r="G32" s="512"/>
      <c r="H32" s="512"/>
      <c r="I32" s="512"/>
      <c r="J32" s="512"/>
      <c r="K32" s="512"/>
      <c r="L32" s="512"/>
    </row>
    <row r="33" spans="2:12" s="19" customFormat="1" ht="22.5" customHeight="1" x14ac:dyDescent="0.2">
      <c r="B33" s="1113"/>
      <c r="C33" s="1113"/>
      <c r="D33" s="1113"/>
      <c r="E33" s="1113"/>
      <c r="F33" s="1113"/>
      <c r="G33" s="1113"/>
      <c r="H33" s="1113"/>
      <c r="I33" s="1113"/>
      <c r="J33" s="1113"/>
      <c r="K33" s="1113"/>
      <c r="L33" s="1113"/>
    </row>
    <row r="35" spans="2:12" ht="15" customHeight="1" x14ac:dyDescent="0.2">
      <c r="C35" s="66"/>
      <c r="D35" s="66"/>
      <c r="E35" s="66"/>
      <c r="F35" s="66"/>
      <c r="G35" s="66"/>
      <c r="H35" s="66"/>
      <c r="I35" s="66"/>
      <c r="J35" s="66"/>
      <c r="K35" s="66"/>
      <c r="L35" s="66"/>
    </row>
    <row r="36" spans="2:12" ht="15" customHeight="1" x14ac:dyDescent="0.2">
      <c r="C36" s="67"/>
      <c r="D36" s="67"/>
      <c r="E36" s="67"/>
      <c r="F36" s="67"/>
      <c r="G36" s="67"/>
      <c r="H36" s="67"/>
      <c r="I36" s="67"/>
      <c r="J36" s="67"/>
      <c r="K36" s="67"/>
      <c r="L36" s="67"/>
    </row>
  </sheetData>
  <mergeCells count="2">
    <mergeCell ref="B5:L5"/>
    <mergeCell ref="B33:L33"/>
  </mergeCells>
  <hyperlinks>
    <hyperlink ref="L2" location="'Cover '!A1" display="Back to Cover" xr:uid="{49077E08-3475-43F9-B35F-D0DD0E50A313}"/>
  </hyperlinks>
  <printOptions horizontalCentered="1" verticalCentered="1"/>
  <pageMargins left="0" right="0" top="0" bottom="0" header="0" footer="0"/>
  <pageSetup paperSize="8"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5"/>
  <sheetViews>
    <sheetView showGridLines="0" view="pageBreakPreview" zoomScale="90" zoomScaleNormal="90" zoomScaleSheetLayoutView="90" workbookViewId="0">
      <pane xSplit="2" ySplit="10" topLeftCell="C11" activePane="bottomRight" state="frozen"/>
      <selection pane="topRight" activeCell="C1" sqref="C1"/>
      <selection pane="bottomLeft" activeCell="A11" sqref="A11"/>
      <selection pane="bottomRight" activeCell="O7" sqref="O7"/>
    </sheetView>
  </sheetViews>
  <sheetFormatPr defaultColWidth="9.140625" defaultRowHeight="15" x14ac:dyDescent="0.25"/>
  <cols>
    <col min="1" max="1" width="2.42578125" style="27" customWidth="1"/>
    <col min="2" max="2" width="42.85546875" style="27" customWidth="1"/>
    <col min="3" max="12" width="15.7109375" style="27" customWidth="1"/>
    <col min="13" max="13" width="2.42578125" style="27" customWidth="1"/>
    <col min="14" max="15" width="9.140625" style="27"/>
    <col min="16" max="16" width="22.5703125" style="27" bestFit="1" customWidth="1"/>
    <col min="17" max="16384" width="9.140625" style="27"/>
  </cols>
  <sheetData>
    <row r="1" spans="1:15" ht="15.75" customHeight="1" x14ac:dyDescent="0.3">
      <c r="B1" s="543"/>
      <c r="C1" s="543"/>
      <c r="D1" s="543"/>
      <c r="E1" s="543"/>
      <c r="F1" s="543"/>
      <c r="G1" s="543"/>
      <c r="H1" s="543"/>
      <c r="I1" s="543"/>
      <c r="J1" s="543"/>
      <c r="K1" s="543"/>
      <c r="L1" s="543"/>
    </row>
    <row r="2" spans="1:15" ht="15.75" customHeight="1" x14ac:dyDescent="0.35">
      <c r="B2" s="543"/>
      <c r="C2" s="544"/>
      <c r="D2" s="544"/>
      <c r="E2" s="544"/>
      <c r="F2" s="544"/>
      <c r="G2" s="544"/>
      <c r="H2" s="544"/>
      <c r="I2" s="544"/>
      <c r="J2" s="544"/>
      <c r="K2" s="544"/>
      <c r="L2" s="482" t="s">
        <v>18</v>
      </c>
    </row>
    <row r="3" spans="1:15" ht="15.75" customHeight="1" x14ac:dyDescent="0.3">
      <c r="B3" s="543"/>
      <c r="C3" s="543"/>
      <c r="D3" s="543"/>
      <c r="E3" s="543"/>
      <c r="F3" s="543"/>
      <c r="G3" s="543"/>
      <c r="H3" s="543"/>
      <c r="I3" s="543"/>
      <c r="J3" s="543"/>
      <c r="K3" s="543"/>
      <c r="L3" s="543"/>
    </row>
    <row r="4" spans="1:15" ht="15.75" customHeight="1" x14ac:dyDescent="0.35">
      <c r="B4" s="543"/>
      <c r="C4" s="506"/>
      <c r="D4" s="506"/>
      <c r="E4" s="506"/>
      <c r="F4" s="506"/>
      <c r="G4" s="506"/>
      <c r="H4" s="506"/>
      <c r="I4" s="506"/>
      <c r="J4" s="506"/>
      <c r="K4" s="506"/>
      <c r="L4" s="543"/>
    </row>
    <row r="5" spans="1:15" ht="26.25" customHeight="1" x14ac:dyDescent="0.25">
      <c r="A5" s="28"/>
      <c r="B5" s="1112" t="s">
        <v>40</v>
      </c>
      <c r="C5" s="1112"/>
      <c r="D5" s="1112"/>
      <c r="E5" s="1112"/>
      <c r="F5" s="1112"/>
      <c r="G5" s="1112"/>
      <c r="H5" s="1112"/>
      <c r="I5" s="1112"/>
      <c r="J5" s="1112"/>
      <c r="K5" s="1112"/>
      <c r="L5" s="1112"/>
    </row>
    <row r="6" spans="1:15" s="29" customFormat="1" ht="16.5" x14ac:dyDescent="0.25">
      <c r="A6" s="28"/>
      <c r="B6" s="545"/>
      <c r="C6" s="545"/>
      <c r="D6" s="545"/>
      <c r="E6" s="545"/>
      <c r="F6" s="545"/>
      <c r="G6" s="545"/>
      <c r="H6" s="545"/>
      <c r="I6" s="545"/>
      <c r="J6" s="545"/>
      <c r="K6" s="545"/>
      <c r="L6" s="545"/>
    </row>
    <row r="7" spans="1:15" ht="16.5" x14ac:dyDescent="0.3">
      <c r="B7" s="546"/>
      <c r="C7" s="546"/>
      <c r="D7" s="546"/>
      <c r="E7" s="546"/>
      <c r="F7" s="546"/>
      <c r="G7" s="546"/>
      <c r="H7" s="546"/>
      <c r="I7" s="546"/>
      <c r="J7" s="546"/>
      <c r="K7" s="546"/>
      <c r="L7" s="546"/>
    </row>
    <row r="8" spans="1:15" ht="15" customHeight="1" x14ac:dyDescent="0.3">
      <c r="B8" s="546" t="s">
        <v>41</v>
      </c>
      <c r="C8" s="547"/>
      <c r="D8" s="547"/>
      <c r="E8" s="547"/>
      <c r="F8" s="547"/>
      <c r="G8" s="547"/>
      <c r="H8" s="547"/>
      <c r="I8" s="547"/>
      <c r="J8" s="547"/>
      <c r="K8" s="547"/>
      <c r="L8" s="547"/>
    </row>
    <row r="9" spans="1:15" ht="15" customHeight="1" x14ac:dyDescent="0.3">
      <c r="B9" s="546"/>
      <c r="C9" s="547"/>
      <c r="D9" s="547"/>
      <c r="E9" s="547"/>
      <c r="F9" s="547"/>
      <c r="G9" s="547"/>
      <c r="H9" s="547"/>
      <c r="I9" s="547"/>
      <c r="J9" s="547"/>
      <c r="K9" s="547"/>
      <c r="L9" s="547"/>
    </row>
    <row r="10" spans="1:15" s="30" customFormat="1" ht="26.45" customHeight="1" x14ac:dyDescent="0.25">
      <c r="B10" s="569"/>
      <c r="C10" s="492">
        <v>45382</v>
      </c>
      <c r="D10" s="492">
        <v>45473</v>
      </c>
      <c r="E10" s="492">
        <v>45565</v>
      </c>
      <c r="F10" s="492">
        <v>45657</v>
      </c>
      <c r="G10" s="492">
        <v>45747</v>
      </c>
      <c r="H10" s="492">
        <v>45838</v>
      </c>
      <c r="I10" s="492">
        <v>45930</v>
      </c>
      <c r="J10" s="492">
        <v>46022</v>
      </c>
      <c r="K10" s="505">
        <v>46112</v>
      </c>
      <c r="L10" s="492">
        <v>46203</v>
      </c>
    </row>
    <row r="11" spans="1:15" ht="20.25" customHeight="1" x14ac:dyDescent="0.3">
      <c r="B11" s="548"/>
      <c r="C11" s="548"/>
      <c r="D11" s="548"/>
      <c r="E11" s="548"/>
      <c r="F11" s="548"/>
      <c r="G11" s="548"/>
      <c r="H11" s="548"/>
      <c r="I11" s="548"/>
      <c r="J11" s="548"/>
      <c r="K11" s="555"/>
      <c r="L11" s="548"/>
    </row>
    <row r="12" spans="1:15" ht="24" customHeight="1" x14ac:dyDescent="0.25">
      <c r="B12" s="565" t="s">
        <v>238</v>
      </c>
      <c r="C12" s="554"/>
      <c r="D12" s="554"/>
      <c r="E12" s="554"/>
      <c r="F12" s="554"/>
      <c r="G12" s="554"/>
      <c r="H12" s="554"/>
      <c r="I12" s="554"/>
      <c r="J12" s="554"/>
      <c r="K12" s="556"/>
      <c r="L12" s="554"/>
    </row>
    <row r="13" spans="1:15" ht="16.5" x14ac:dyDescent="0.3">
      <c r="B13" s="566" t="s">
        <v>52</v>
      </c>
      <c r="C13" s="567"/>
      <c r="D13" s="567"/>
      <c r="E13" s="567"/>
      <c r="F13" s="567"/>
      <c r="G13" s="567"/>
      <c r="H13" s="567"/>
      <c r="I13" s="567"/>
      <c r="J13" s="567"/>
      <c r="K13" s="568"/>
      <c r="L13" s="567"/>
    </row>
    <row r="14" spans="1:15" s="31" customFormat="1" ht="15" customHeight="1" x14ac:dyDescent="0.3">
      <c r="B14" s="549" t="s">
        <v>60</v>
      </c>
      <c r="C14" s="550">
        <v>4494.4756909999996</v>
      </c>
      <c r="D14" s="550">
        <v>4729.2096068473256</v>
      </c>
      <c r="E14" s="550">
        <v>4944.4027484886201</v>
      </c>
      <c r="F14" s="550">
        <v>4935.617174</v>
      </c>
      <c r="G14" s="550">
        <v>5086</v>
      </c>
      <c r="H14" s="550">
        <v>5125.000344</v>
      </c>
      <c r="I14" s="550">
        <v>5282.8836739999997</v>
      </c>
      <c r="J14" s="550">
        <v>4576.8433370000002</v>
      </c>
      <c r="K14" s="557">
        <v>4666.1030000000001</v>
      </c>
      <c r="L14" s="1085">
        <v>4770.0013730000001</v>
      </c>
      <c r="O14" s="803"/>
    </row>
    <row r="15" spans="1:15" ht="16.5" x14ac:dyDescent="0.3">
      <c r="B15" s="549" t="s">
        <v>58</v>
      </c>
      <c r="C15" s="550">
        <v>6085.0819289999999</v>
      </c>
      <c r="D15" s="550">
        <v>6336.9569688473248</v>
      </c>
      <c r="E15" s="550">
        <v>6698.9759459332199</v>
      </c>
      <c r="F15" s="550">
        <v>6708.1066760000003</v>
      </c>
      <c r="G15" s="550">
        <v>6877</v>
      </c>
      <c r="H15" s="550">
        <v>7297.8168839999998</v>
      </c>
      <c r="I15" s="550">
        <v>7439.3389260000004</v>
      </c>
      <c r="J15" s="550">
        <v>6751.7597379999997</v>
      </c>
      <c r="K15" s="557">
        <v>6859.3710000000001</v>
      </c>
      <c r="L15" s="1085">
        <v>6945.3231429999996</v>
      </c>
      <c r="O15" s="803"/>
    </row>
    <row r="16" spans="1:15" ht="16.5" x14ac:dyDescent="0.3">
      <c r="B16" s="549" t="s">
        <v>59</v>
      </c>
      <c r="C16" s="550">
        <v>33051.265322618674</v>
      </c>
      <c r="D16" s="550">
        <v>34143.051293999997</v>
      </c>
      <c r="E16" s="550">
        <v>33708.738581787897</v>
      </c>
      <c r="F16" s="550">
        <v>34098.476318000001</v>
      </c>
      <c r="G16" s="550">
        <v>35807</v>
      </c>
      <c r="H16" s="550">
        <v>36118.630502</v>
      </c>
      <c r="I16" s="550">
        <v>36604.191288000002</v>
      </c>
      <c r="J16" s="550">
        <v>36025.367651</v>
      </c>
      <c r="K16" s="557">
        <v>37023.338399</v>
      </c>
      <c r="L16" s="1085">
        <v>37322.191366999999</v>
      </c>
    </row>
    <row r="17" spans="2:15" ht="16.5" x14ac:dyDescent="0.3">
      <c r="B17" s="551" t="s">
        <v>61</v>
      </c>
      <c r="C17" s="552">
        <v>0.13598498112337623</v>
      </c>
      <c r="D17" s="552">
        <v>0.13851162762592328</v>
      </c>
      <c r="E17" s="552">
        <v>0.14668014753776559</v>
      </c>
      <c r="F17" s="552">
        <v>0.14474597421804952</v>
      </c>
      <c r="G17" s="552">
        <v>0.14203926606529449</v>
      </c>
      <c r="H17" s="552">
        <v>0.14189354005867452</v>
      </c>
      <c r="I17" s="552">
        <v>0.14432455650869397</v>
      </c>
      <c r="J17" s="552">
        <v>0.12704501398399901</v>
      </c>
      <c r="K17" s="558">
        <v>0.12603139537859803</v>
      </c>
      <c r="L17" s="1086">
        <v>0.12780603705969953</v>
      </c>
    </row>
    <row r="18" spans="2:15" ht="16.5" x14ac:dyDescent="0.3">
      <c r="B18" s="551" t="s">
        <v>62</v>
      </c>
      <c r="C18" s="552">
        <v>0.18411040756238964</v>
      </c>
      <c r="D18" s="552">
        <v>0.18560019473013317</v>
      </c>
      <c r="E18" s="552">
        <v>0.1987311370219155</v>
      </c>
      <c r="F18" s="552">
        <v>0.19672746117570378</v>
      </c>
      <c r="G18" s="552">
        <v>0.19205741894043063</v>
      </c>
      <c r="H18" s="552">
        <v>0.20205131763220915</v>
      </c>
      <c r="I18" s="552">
        <v>0.20323735245146224</v>
      </c>
      <c r="J18" s="552">
        <v>0.18741681704426916</v>
      </c>
      <c r="K18" s="558">
        <v>0.18527154213044364</v>
      </c>
      <c r="L18" s="1086">
        <v>0.18609097935071953</v>
      </c>
    </row>
    <row r="19" spans="2:15" ht="15.75" x14ac:dyDescent="0.3">
      <c r="B19" s="548"/>
      <c r="C19" s="553"/>
      <c r="D19" s="553"/>
      <c r="E19" s="553"/>
      <c r="F19" s="553"/>
      <c r="G19" s="553"/>
      <c r="H19" s="553"/>
      <c r="I19" s="553"/>
      <c r="J19" s="553"/>
      <c r="K19" s="559"/>
      <c r="L19" s="1087"/>
    </row>
    <row r="20" spans="2:15" ht="19.5" x14ac:dyDescent="0.3">
      <c r="B20" s="551" t="s">
        <v>339</v>
      </c>
      <c r="C20" s="560"/>
      <c r="D20" s="560"/>
      <c r="E20" s="560"/>
      <c r="F20" s="560"/>
      <c r="G20" s="560"/>
      <c r="H20" s="560"/>
      <c r="I20" s="560"/>
      <c r="J20" s="560"/>
      <c r="K20" s="561"/>
      <c r="L20" s="560"/>
    </row>
    <row r="21" spans="2:15" ht="16.5" x14ac:dyDescent="0.3">
      <c r="B21" s="562" t="s">
        <v>60</v>
      </c>
      <c r="C21" s="563">
        <v>4494.4756909999996</v>
      </c>
      <c r="D21" s="563">
        <v>4729.2096068473256</v>
      </c>
      <c r="E21" s="563">
        <v>4944.4027484886201</v>
      </c>
      <c r="F21" s="563">
        <v>4935.617174</v>
      </c>
      <c r="G21" s="563">
        <v>5086</v>
      </c>
      <c r="H21" s="563">
        <v>5125.000344</v>
      </c>
      <c r="I21" s="563">
        <v>5282.8836739999997</v>
      </c>
      <c r="J21" s="563" t="s">
        <v>141</v>
      </c>
      <c r="K21" s="564" t="s">
        <v>141</v>
      </c>
      <c r="L21" s="563" t="s">
        <v>141</v>
      </c>
    </row>
    <row r="22" spans="2:15" ht="16.5" x14ac:dyDescent="0.3">
      <c r="B22" s="549" t="s">
        <v>58</v>
      </c>
      <c r="C22" s="550">
        <v>6085.0819289999999</v>
      </c>
      <c r="D22" s="550">
        <v>6486.9569688473248</v>
      </c>
      <c r="E22" s="550">
        <v>6698.9759459332199</v>
      </c>
      <c r="F22" s="550">
        <v>6708.1066760000003</v>
      </c>
      <c r="G22" s="550">
        <v>6877</v>
      </c>
      <c r="H22" s="550">
        <v>7297.8168839999998</v>
      </c>
      <c r="I22" s="550">
        <v>7439.3389260000004</v>
      </c>
      <c r="J22" s="550" t="s">
        <v>141</v>
      </c>
      <c r="K22" s="557" t="s">
        <v>141</v>
      </c>
      <c r="L22" s="550" t="s">
        <v>141</v>
      </c>
      <c r="O22" s="803"/>
    </row>
    <row r="23" spans="2:15" ht="16.5" x14ac:dyDescent="0.3">
      <c r="B23" s="549" t="s">
        <v>59</v>
      </c>
      <c r="C23" s="550">
        <v>32856.039396618675</v>
      </c>
      <c r="D23" s="550">
        <v>33355.959430999996</v>
      </c>
      <c r="E23" s="550">
        <v>33614.364662787899</v>
      </c>
      <c r="F23" s="550">
        <v>33633.43932243</v>
      </c>
      <c r="G23" s="550">
        <v>35337.735999999997</v>
      </c>
      <c r="H23" s="550">
        <v>35697.749501999999</v>
      </c>
      <c r="I23" s="550">
        <v>36149.924288000002</v>
      </c>
      <c r="J23" s="550" t="s">
        <v>141</v>
      </c>
      <c r="K23" s="557" t="s">
        <v>141</v>
      </c>
      <c r="L23" s="550" t="s">
        <v>141</v>
      </c>
      <c r="N23" s="659"/>
    </row>
    <row r="24" spans="2:15" ht="16.5" x14ac:dyDescent="0.3">
      <c r="B24" s="551" t="s">
        <v>61</v>
      </c>
      <c r="C24" s="552">
        <v>0.13679298459395386</v>
      </c>
      <c r="D24" s="552">
        <v>0.14178005032744298</v>
      </c>
      <c r="E24" s="552">
        <v>0.14709195899103877</v>
      </c>
      <c r="F24" s="552">
        <v>0.14674732270715049</v>
      </c>
      <c r="G24" s="552">
        <v>0.14392546257066385</v>
      </c>
      <c r="H24" s="552">
        <v>0.14356648291548091</v>
      </c>
      <c r="I24" s="552">
        <v>0.1461381670377013</v>
      </c>
      <c r="J24" s="552" t="s">
        <v>141</v>
      </c>
      <c r="K24" s="558" t="s">
        <v>141</v>
      </c>
      <c r="L24" s="552" t="s">
        <v>141</v>
      </c>
    </row>
    <row r="25" spans="2:15" ht="16.5" x14ac:dyDescent="0.3">
      <c r="B25" s="551" t="s">
        <v>62</v>
      </c>
      <c r="C25" s="552">
        <v>0.18520436549105904</v>
      </c>
      <c r="D25" s="552">
        <v>0.19447670160009092</v>
      </c>
      <c r="E25" s="552">
        <v>0.19928908409056398</v>
      </c>
      <c r="F25" s="552">
        <v>0.19944753825774791</v>
      </c>
      <c r="G25" s="552">
        <v>0.19460782660213435</v>
      </c>
      <c r="H25" s="552">
        <v>0.20443352832623618</v>
      </c>
      <c r="I25" s="552">
        <v>0.2057912726658046</v>
      </c>
      <c r="J25" s="552" t="s">
        <v>141</v>
      </c>
      <c r="K25" s="558" t="s">
        <v>141</v>
      </c>
      <c r="L25" s="552" t="s">
        <v>141</v>
      </c>
    </row>
    <row r="26" spans="2:15" ht="15.75" x14ac:dyDescent="0.3">
      <c r="B26" s="548"/>
      <c r="C26" s="548"/>
      <c r="D26" s="548"/>
      <c r="E26" s="548"/>
      <c r="F26" s="548"/>
      <c r="G26" s="548"/>
      <c r="H26" s="548"/>
      <c r="I26" s="548"/>
      <c r="J26" s="548"/>
      <c r="K26" s="555"/>
      <c r="L26" s="548"/>
    </row>
    <row r="27" spans="2:15" ht="22.5" customHeight="1" x14ac:dyDescent="0.25">
      <c r="B27" s="565" t="s">
        <v>370</v>
      </c>
      <c r="C27" s="554"/>
      <c r="D27" s="554"/>
      <c r="E27" s="554"/>
      <c r="F27" s="554"/>
      <c r="G27" s="554"/>
      <c r="H27" s="554"/>
      <c r="I27" s="554"/>
      <c r="J27" s="554"/>
      <c r="K27" s="556"/>
      <c r="L27" s="554"/>
    </row>
    <row r="28" spans="2:15" ht="16.5" x14ac:dyDescent="0.3">
      <c r="B28" s="566"/>
      <c r="C28" s="567"/>
      <c r="D28" s="567"/>
      <c r="E28" s="567"/>
      <c r="F28" s="567"/>
      <c r="G28" s="567"/>
      <c r="H28" s="567"/>
      <c r="I28" s="567"/>
      <c r="J28" s="567"/>
      <c r="K28" s="568"/>
      <c r="L28" s="567"/>
    </row>
    <row r="29" spans="2:15" ht="16.5" x14ac:dyDescent="0.3">
      <c r="B29" s="549" t="s">
        <v>58</v>
      </c>
      <c r="C29" s="550">
        <v>6103.9310939999996</v>
      </c>
      <c r="D29" s="550">
        <v>6493.4118959999996</v>
      </c>
      <c r="E29" s="550">
        <v>6747.104557556866</v>
      </c>
      <c r="F29" s="550">
        <v>6762.6010619999997</v>
      </c>
      <c r="G29" s="550">
        <v>6874</v>
      </c>
      <c r="H29" s="550">
        <v>7323.5418170000003</v>
      </c>
      <c r="I29" s="550">
        <v>7464.1621640000003</v>
      </c>
      <c r="J29" s="550">
        <v>6751.7597379999997</v>
      </c>
      <c r="K29" s="557">
        <v>6859.3710000000001</v>
      </c>
      <c r="L29" s="550">
        <v>6945.3231429999996</v>
      </c>
      <c r="O29" s="803"/>
    </row>
    <row r="30" spans="2:15" ht="16.5" x14ac:dyDescent="0.3">
      <c r="B30" s="549" t="s">
        <v>268</v>
      </c>
      <c r="C30" s="550">
        <v>2408.6541706799999</v>
      </c>
      <c r="D30" s="550">
        <v>3055.8562978</v>
      </c>
      <c r="E30" s="550">
        <v>3053.05333638</v>
      </c>
      <c r="F30" s="550">
        <v>3050.23404858</v>
      </c>
      <c r="G30" s="550">
        <v>3047.40962094</v>
      </c>
      <c r="H30" s="550">
        <v>3544.6000783499999</v>
      </c>
      <c r="I30" s="550">
        <f>3500+41.7954907</f>
        <v>3541.7954906999998</v>
      </c>
      <c r="J30" s="550">
        <f>3650+39.01015358</f>
        <v>3689.01015358</v>
      </c>
      <c r="K30" s="557">
        <f>3650+36.22554667</f>
        <v>3686.2255466699999</v>
      </c>
      <c r="L30" s="1065">
        <f>3650+36.22554667</f>
        <v>3686.2255466699999</v>
      </c>
    </row>
    <row r="31" spans="2:15" ht="16.5" x14ac:dyDescent="0.3">
      <c r="B31" s="549" t="s">
        <v>59</v>
      </c>
      <c r="C31" s="550">
        <v>32764.578960577099</v>
      </c>
      <c r="D31" s="550">
        <v>33264.057677999997</v>
      </c>
      <c r="E31" s="550">
        <v>33643.005104000003</v>
      </c>
      <c r="F31" s="550">
        <v>33624.28539243</v>
      </c>
      <c r="G31" s="550">
        <v>35193.735999999997</v>
      </c>
      <c r="H31" s="550">
        <v>35719.963731999997</v>
      </c>
      <c r="I31" s="550">
        <v>36176.351712000003</v>
      </c>
      <c r="J31" s="550">
        <v>36025.367651</v>
      </c>
      <c r="K31" s="557">
        <v>37023.338399</v>
      </c>
      <c r="L31" s="550">
        <v>37322.191366999999</v>
      </c>
      <c r="N31" s="659"/>
    </row>
    <row r="32" spans="2:15" ht="16.5" x14ac:dyDescent="0.3">
      <c r="B32" s="551" t="s">
        <v>267</v>
      </c>
      <c r="C32" s="552">
        <v>0.25981061056583354</v>
      </c>
      <c r="D32" s="552">
        <v>0.28707466437913387</v>
      </c>
      <c r="E32" s="552">
        <v>0.29129852888116914</v>
      </c>
      <c r="F32" s="552">
        <v>0.29183772966634441</v>
      </c>
      <c r="G32" s="552">
        <v>0.28190839474786084</v>
      </c>
      <c r="H32" s="552">
        <v>0.30425960051055972</v>
      </c>
      <c r="I32" s="552">
        <v>0.30423072349358082</v>
      </c>
      <c r="J32" s="552">
        <v>0.28981716419180481</v>
      </c>
      <c r="K32" s="558">
        <v>0.28483645729135104</v>
      </c>
      <c r="L32" s="552">
        <v>0.28485864040315528</v>
      </c>
    </row>
    <row r="33" spans="2:16" ht="16.5" x14ac:dyDescent="0.3">
      <c r="B33" s="551"/>
      <c r="C33" s="552"/>
      <c r="D33" s="552"/>
      <c r="E33" s="552"/>
      <c r="F33" s="552"/>
      <c r="G33" s="552"/>
      <c r="H33" s="552"/>
      <c r="I33" s="552"/>
      <c r="J33" s="552"/>
      <c r="K33" s="558"/>
      <c r="L33" s="552"/>
    </row>
    <row r="34" spans="2:16" ht="22.5" customHeight="1" x14ac:dyDescent="0.25">
      <c r="B34" s="565" t="s">
        <v>619</v>
      </c>
      <c r="C34" s="554"/>
      <c r="D34" s="554"/>
      <c r="E34" s="554"/>
      <c r="F34" s="554"/>
      <c r="G34" s="554"/>
      <c r="H34" s="554"/>
      <c r="I34" s="554"/>
      <c r="J34" s="554"/>
      <c r="K34" s="556"/>
      <c r="L34" s="554"/>
    </row>
    <row r="35" spans="2:16" ht="16.5" customHeight="1" x14ac:dyDescent="0.3">
      <c r="B35" s="566"/>
      <c r="C35" s="567"/>
      <c r="D35" s="567"/>
      <c r="E35" s="567"/>
      <c r="F35" s="567"/>
      <c r="G35" s="567"/>
      <c r="H35" s="567"/>
      <c r="I35" s="567"/>
      <c r="J35" s="567"/>
      <c r="K35" s="568"/>
      <c r="L35" s="567"/>
    </row>
    <row r="36" spans="2:16" ht="22.5" customHeight="1" x14ac:dyDescent="0.3">
      <c r="B36" s="549" t="s">
        <v>619</v>
      </c>
      <c r="C36" s="550">
        <v>3256.92178949258</v>
      </c>
      <c r="D36" s="550">
        <v>3211.0728811644799</v>
      </c>
      <c r="E36" s="550">
        <v>3165.3228811644799</v>
      </c>
      <c r="F36" s="550">
        <v>3119.5728811644799</v>
      </c>
      <c r="G36" s="550">
        <v>3032.6428811644801</v>
      </c>
      <c r="H36" s="550">
        <v>2946.8728811644801</v>
      </c>
      <c r="I36" s="550">
        <v>2863.2778811644803</v>
      </c>
      <c r="J36" s="550">
        <v>2762.5728811644803</v>
      </c>
      <c r="K36" s="557">
        <v>2670.9661311644804</v>
      </c>
      <c r="L36" s="550">
        <v>2570.2121431644805</v>
      </c>
    </row>
    <row r="37" spans="2:16" ht="22.5" customHeight="1" x14ac:dyDescent="0.3">
      <c r="B37" s="549" t="s">
        <v>620</v>
      </c>
      <c r="C37" s="873">
        <v>0.7246499955521909</v>
      </c>
      <c r="D37" s="873">
        <v>0.67898721945316898</v>
      </c>
      <c r="E37" s="873">
        <v>0.64018305995239566</v>
      </c>
      <c r="F37" s="873">
        <v>0.63205325113095567</v>
      </c>
      <c r="G37" s="873">
        <v>0.59627268603312622</v>
      </c>
      <c r="H37" s="873">
        <v>0.57499954797358743</v>
      </c>
      <c r="I37" s="873">
        <v>0.54199146864737124</v>
      </c>
      <c r="J37" s="873">
        <v>0.6035978681707016</v>
      </c>
      <c r="K37" s="905">
        <v>0.57241902529037192</v>
      </c>
      <c r="L37" s="873">
        <v>0.538828386447192</v>
      </c>
    </row>
    <row r="38" spans="2:16" ht="16.5" x14ac:dyDescent="0.3">
      <c r="B38" s="551"/>
      <c r="C38" s="552"/>
      <c r="D38" s="552"/>
      <c r="E38" s="552"/>
      <c r="F38" s="552"/>
      <c r="G38" s="552"/>
      <c r="H38" s="552"/>
      <c r="I38" s="552"/>
      <c r="J38" s="552"/>
      <c r="K38" s="558"/>
      <c r="L38" s="552"/>
    </row>
    <row r="39" spans="2:16" ht="22.5" customHeight="1" x14ac:dyDescent="0.25">
      <c r="B39" s="565" t="s">
        <v>442</v>
      </c>
      <c r="C39" s="554"/>
      <c r="D39" s="554"/>
      <c r="E39" s="554"/>
      <c r="F39" s="554"/>
      <c r="G39" s="554"/>
      <c r="H39" s="554"/>
      <c r="I39" s="554"/>
      <c r="J39" s="554"/>
      <c r="K39" s="556"/>
      <c r="L39" s="554"/>
    </row>
    <row r="40" spans="2:16" ht="22.5" customHeight="1" x14ac:dyDescent="0.25">
      <c r="B40" s="754"/>
      <c r="C40" s="755"/>
      <c r="D40" s="755"/>
      <c r="E40" s="755"/>
      <c r="F40" s="755"/>
      <c r="G40" s="755"/>
      <c r="H40" s="755"/>
      <c r="I40" s="755"/>
      <c r="J40" s="755"/>
      <c r="K40" s="757"/>
      <c r="L40" s="755"/>
    </row>
    <row r="41" spans="2:16" ht="16.5" customHeight="1" x14ac:dyDescent="0.3">
      <c r="B41" s="756" t="s">
        <v>443</v>
      </c>
      <c r="C41" s="758">
        <v>0.08</v>
      </c>
      <c r="D41" s="758">
        <v>0.08</v>
      </c>
      <c r="E41" s="758">
        <v>0.08</v>
      </c>
      <c r="F41" s="758">
        <v>0.08</v>
      </c>
      <c r="G41" s="758">
        <v>0.08</v>
      </c>
      <c r="H41" s="758">
        <v>0.08</v>
      </c>
      <c r="I41" s="812">
        <v>0.08</v>
      </c>
      <c r="J41" s="812">
        <v>0.08</v>
      </c>
      <c r="K41" s="817">
        <v>0.08</v>
      </c>
      <c r="L41" s="958">
        <v>0.08</v>
      </c>
    </row>
    <row r="42" spans="2:16" ht="16.5" customHeight="1" x14ac:dyDescent="0.25">
      <c r="B42" s="549" t="s">
        <v>444</v>
      </c>
      <c r="C42" s="761">
        <v>0.03</v>
      </c>
      <c r="D42" s="761">
        <v>0.03</v>
      </c>
      <c r="E42" s="761">
        <v>0.03</v>
      </c>
      <c r="F42" s="761">
        <v>0.03</v>
      </c>
      <c r="G42" s="761">
        <v>2.9000000000000001E-2</v>
      </c>
      <c r="H42" s="761">
        <v>2.9000000000000001E-2</v>
      </c>
      <c r="I42" s="761">
        <v>2.9000000000000001E-2</v>
      </c>
      <c r="J42" s="761">
        <v>2.9000000000000001E-2</v>
      </c>
      <c r="K42" s="760">
        <v>2.9000000000000001E-2</v>
      </c>
      <c r="L42" s="959">
        <v>2.9000000000000001E-2</v>
      </c>
    </row>
    <row r="43" spans="2:16" ht="16.5" customHeight="1" x14ac:dyDescent="0.25">
      <c r="B43" s="549" t="s">
        <v>445</v>
      </c>
      <c r="C43" s="761">
        <v>2.5000000000000001E-2</v>
      </c>
      <c r="D43" s="761">
        <v>2.5000000000000001E-2</v>
      </c>
      <c r="E43" s="761">
        <v>2.5000000000000001E-2</v>
      </c>
      <c r="F43" s="761">
        <v>2.5000000000000001E-2</v>
      </c>
      <c r="G43" s="761">
        <v>2.5000000000000001E-2</v>
      </c>
      <c r="H43" s="761">
        <v>2.5000000000000001E-2</v>
      </c>
      <c r="I43" s="761">
        <v>2.5000000000000001E-2</v>
      </c>
      <c r="J43" s="761">
        <v>2.5000000000000001E-2</v>
      </c>
      <c r="K43" s="760">
        <v>2.5000000000000001E-2</v>
      </c>
      <c r="L43" s="959">
        <v>2.5000000000000001E-2</v>
      </c>
    </row>
    <row r="44" spans="2:16" ht="16.5" customHeight="1" x14ac:dyDescent="0.25">
      <c r="B44" s="549" t="s">
        <v>446</v>
      </c>
      <c r="C44" s="761">
        <v>0.01</v>
      </c>
      <c r="D44" s="761">
        <v>0.01</v>
      </c>
      <c r="E44" s="761">
        <v>0.01</v>
      </c>
      <c r="F44" s="761">
        <v>0.01</v>
      </c>
      <c r="G44" s="761">
        <v>0.01</v>
      </c>
      <c r="H44" s="761">
        <v>0.01</v>
      </c>
      <c r="I44" s="761">
        <v>0.01</v>
      </c>
      <c r="J44" s="761">
        <v>0.01</v>
      </c>
      <c r="K44" s="760">
        <v>0.01</v>
      </c>
      <c r="L44" s="959">
        <v>0.01</v>
      </c>
    </row>
    <row r="45" spans="2:16" ht="16.5" customHeight="1" x14ac:dyDescent="0.3">
      <c r="B45" s="549" t="s">
        <v>660</v>
      </c>
      <c r="C45" s="759">
        <v>6.9999999999999999E-4</v>
      </c>
      <c r="D45" s="759">
        <v>8.0000000000000004E-4</v>
      </c>
      <c r="E45" s="759">
        <v>8.9999999999999998E-4</v>
      </c>
      <c r="F45" s="759">
        <v>8.9999999999999998E-4</v>
      </c>
      <c r="G45" s="759">
        <v>1.1999999999999999E-3</v>
      </c>
      <c r="H45" s="761">
        <v>1.4E-3</v>
      </c>
      <c r="I45" s="761">
        <v>3.3E-3</v>
      </c>
      <c r="J45" s="761">
        <v>3.3495E-3</v>
      </c>
      <c r="K45" s="760">
        <v>3.5000000000000001E-3</v>
      </c>
      <c r="L45" s="959">
        <v>3.3750776789100941E-3</v>
      </c>
    </row>
    <row r="46" spans="2:16" ht="16.5" customHeight="1" x14ac:dyDescent="0.3">
      <c r="B46" s="756" t="s">
        <v>447</v>
      </c>
      <c r="C46" s="758">
        <v>9.7600000000000006E-2</v>
      </c>
      <c r="D46" s="758">
        <v>9.7699999999999995E-2</v>
      </c>
      <c r="E46" s="758">
        <v>9.7799999999999998E-2</v>
      </c>
      <c r="F46" s="758">
        <v>9.7799999999999998E-2</v>
      </c>
      <c r="G46" s="758">
        <v>9.7500000000000003E-2</v>
      </c>
      <c r="H46" s="758">
        <v>9.7699999999999995E-2</v>
      </c>
      <c r="I46" s="812">
        <v>9.9612499999999993E-2</v>
      </c>
      <c r="J46" s="812">
        <v>9.9699999999999997E-2</v>
      </c>
      <c r="K46" s="817">
        <v>9.9809999999999996E-2</v>
      </c>
      <c r="L46" s="958">
        <v>9.9687577678910094E-2</v>
      </c>
      <c r="P46" s="928"/>
    </row>
    <row r="47" spans="2:16" ht="16.5" customHeight="1" x14ac:dyDescent="0.3">
      <c r="B47" s="549" t="s">
        <v>448</v>
      </c>
      <c r="C47" s="759">
        <v>0.1457</v>
      </c>
      <c r="D47" s="759">
        <v>0.14580000000000001</v>
      </c>
      <c r="E47" s="759">
        <v>0.1459</v>
      </c>
      <c r="F47" s="759">
        <v>0.1459</v>
      </c>
      <c r="G47" s="759">
        <v>0.1452</v>
      </c>
      <c r="H47" s="759">
        <v>0.1454</v>
      </c>
      <c r="I47" s="762">
        <v>0.14729999999999999</v>
      </c>
      <c r="J47" s="762">
        <v>0.14729999999999999</v>
      </c>
      <c r="K47" s="818">
        <v>0.14749999999999999</v>
      </c>
      <c r="L47" s="960">
        <v>0.14737507767891009</v>
      </c>
    </row>
    <row r="48" spans="2:16" ht="16.5" customHeight="1" x14ac:dyDescent="0.3">
      <c r="B48" s="549" t="s">
        <v>449</v>
      </c>
      <c r="C48" s="762">
        <v>1.2500000000000001E-2</v>
      </c>
      <c r="D48" s="762">
        <v>1.2500000000000001E-2</v>
      </c>
      <c r="E48" s="762">
        <v>1.2500000000000001E-2</v>
      </c>
      <c r="F48" s="759">
        <v>1.2500000000000001E-2</v>
      </c>
      <c r="G48" s="759">
        <v>1.2500000000000001E-2</v>
      </c>
      <c r="H48" s="759">
        <v>1.2500000000000001E-2</v>
      </c>
      <c r="I48" s="762">
        <v>1.2500000000000001E-2</v>
      </c>
      <c r="J48" s="762">
        <v>1.2500000000000001E-2</v>
      </c>
      <c r="K48" s="818">
        <v>0.01</v>
      </c>
      <c r="L48" s="960">
        <v>0.01</v>
      </c>
    </row>
    <row r="49" spans="2:16" ht="16.5" customHeight="1" x14ac:dyDescent="0.3">
      <c r="B49" s="549" t="s">
        <v>450</v>
      </c>
      <c r="C49" s="762">
        <f t="shared" ref="C49:G49" si="0">C47+C48</f>
        <v>0.15820000000000001</v>
      </c>
      <c r="D49" s="762">
        <f t="shared" si="0"/>
        <v>0.15830000000000002</v>
      </c>
      <c r="E49" s="762">
        <f t="shared" si="0"/>
        <v>0.15840000000000001</v>
      </c>
      <c r="F49" s="762">
        <f>F47+F48</f>
        <v>0.15840000000000001</v>
      </c>
      <c r="G49" s="762">
        <f t="shared" si="0"/>
        <v>0.15770000000000001</v>
      </c>
      <c r="H49" s="759">
        <f>+H48+H47</f>
        <v>0.15790000000000001</v>
      </c>
      <c r="I49" s="762">
        <f>+I48+I47</f>
        <v>0.1598</v>
      </c>
      <c r="J49" s="762">
        <f>+J48+J47</f>
        <v>0.1598</v>
      </c>
      <c r="K49" s="818">
        <f>+K48+K47</f>
        <v>0.1575</v>
      </c>
      <c r="L49" s="960">
        <f>L47+L48</f>
        <v>0.1573750776789101</v>
      </c>
      <c r="P49" s="928"/>
    </row>
    <row r="50" spans="2:16" ht="16.5" customHeight="1" x14ac:dyDescent="0.3">
      <c r="B50" s="549" t="s">
        <v>451</v>
      </c>
      <c r="C50" s="759">
        <f>18.31%+C43+C44+C45</f>
        <v>0.21879999999999999</v>
      </c>
      <c r="D50" s="759">
        <f>18.31%+D43+D44+D45</f>
        <v>0.21889999999999998</v>
      </c>
      <c r="E50" s="759">
        <f>18.31%+E43+E44+E45</f>
        <v>0.219</v>
      </c>
      <c r="F50" s="759">
        <f>21.33%+F43+F44+F45</f>
        <v>0.2492</v>
      </c>
      <c r="G50" s="759">
        <f>21.33%+G43+G44+G45</f>
        <v>0.2495</v>
      </c>
      <c r="H50" s="759">
        <f>23.6%+H43+H44+H45</f>
        <v>0.27240000000000003</v>
      </c>
      <c r="I50" s="762">
        <f>23.6%+I43+I44+I45</f>
        <v>0.27430000000000004</v>
      </c>
      <c r="J50" s="762">
        <f>23.49%+J43+J44+J45</f>
        <v>0.27324950000000003</v>
      </c>
      <c r="K50" s="818">
        <f>23.49%+K43+K44+K45</f>
        <v>0.27340000000000003</v>
      </c>
      <c r="L50" s="960">
        <v>0.27327507767891007</v>
      </c>
      <c r="P50" s="929"/>
    </row>
    <row r="51" spans="2:16" ht="16.5" customHeight="1" x14ac:dyDescent="0.3">
      <c r="B51" s="549"/>
      <c r="C51" s="552"/>
      <c r="D51" s="552"/>
      <c r="E51" s="552"/>
      <c r="F51" s="552"/>
      <c r="G51" s="552"/>
      <c r="H51" s="552"/>
      <c r="I51" s="552"/>
      <c r="J51" s="552"/>
      <c r="K51" s="552"/>
      <c r="L51" s="759"/>
    </row>
    <row r="52" spans="2:16" ht="16.5" x14ac:dyDescent="0.25">
      <c r="B52" s="1115" t="s">
        <v>661</v>
      </c>
      <c r="C52" s="1115"/>
      <c r="D52" s="1115"/>
      <c r="E52" s="1115"/>
      <c r="F52" s="1115"/>
      <c r="G52" s="1115"/>
      <c r="H52" s="1115"/>
      <c r="I52" s="1115"/>
      <c r="J52" s="1115"/>
      <c r="K52" s="1115"/>
      <c r="L52" s="1115"/>
    </row>
    <row r="53" spans="2:16" ht="29.25" customHeight="1" x14ac:dyDescent="0.3">
      <c r="B53" s="1092"/>
      <c r="C53" s="1093"/>
      <c r="D53" s="1093"/>
      <c r="E53" s="1093"/>
      <c r="F53" s="1093"/>
      <c r="G53" s="1093"/>
      <c r="H53" s="1093"/>
      <c r="I53" s="1093"/>
      <c r="J53" s="1093"/>
      <c r="K53" s="1093"/>
      <c r="L53" s="1093"/>
    </row>
    <row r="54" spans="2:16" ht="156" customHeight="1" x14ac:dyDescent="0.3">
      <c r="B54" s="1114"/>
      <c r="C54" s="1093"/>
      <c r="D54" s="1093"/>
      <c r="E54" s="1093"/>
      <c r="F54" s="1093"/>
      <c r="G54" s="1093"/>
      <c r="H54" s="1093"/>
      <c r="I54" s="1093"/>
      <c r="J54" s="1093"/>
      <c r="K54" s="1093"/>
      <c r="L54" s="1093"/>
    </row>
    <row r="55" spans="2:16" ht="12.75" customHeight="1" x14ac:dyDescent="0.3">
      <c r="B55" s="1114"/>
      <c r="C55" s="1093"/>
      <c r="D55" s="1093"/>
      <c r="E55" s="1093"/>
      <c r="F55" s="1093"/>
      <c r="G55" s="1093"/>
      <c r="H55" s="1093"/>
      <c r="I55" s="1093"/>
      <c r="J55" s="1093"/>
      <c r="K55" s="1093"/>
      <c r="L55" s="1093"/>
    </row>
  </sheetData>
  <mergeCells count="5">
    <mergeCell ref="B5:L5"/>
    <mergeCell ref="B54:L54"/>
    <mergeCell ref="B53:L53"/>
    <mergeCell ref="B55:L55"/>
    <mergeCell ref="B52:L52"/>
  </mergeCells>
  <hyperlinks>
    <hyperlink ref="L2" location="'Cover '!A1" display="Back to Cover" xr:uid="{00000000-0004-0000-0700-000000000000}"/>
  </hyperlinks>
  <printOptions horizontalCentered="1" verticalCentered="1"/>
  <pageMargins left="0.23622047244094491" right="0.23622047244094491" top="0.74803149606299213" bottom="0.74803149606299213" header="0.31496062992125984" footer="0.31496062992125984"/>
  <pageSetup paperSize="8" scale="6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C2E4-E2A0-4004-A88C-77AC368834FD}">
  <sheetPr codeName="Foglio14">
    <pageSetUpPr fitToPage="1"/>
  </sheetPr>
  <dimension ref="A1:K43"/>
  <sheetViews>
    <sheetView showGridLines="0" view="pageBreakPreview" zoomScale="80" zoomScaleNormal="85" zoomScaleSheetLayoutView="80" workbookViewId="0">
      <selection activeCell="E19" sqref="E19"/>
    </sheetView>
  </sheetViews>
  <sheetFormatPr defaultColWidth="9.140625" defaultRowHeight="15" customHeight="1" x14ac:dyDescent="0.2"/>
  <cols>
    <col min="1" max="1" width="2.42578125" style="20" customWidth="1"/>
    <col min="2" max="2" width="59.28515625" style="20" customWidth="1"/>
    <col min="3" max="3" width="42.140625" style="20" customWidth="1"/>
    <col min="4" max="5" width="42.140625" style="22" customWidth="1"/>
    <col min="6" max="6" width="6.42578125" style="20" customWidth="1"/>
    <col min="7" max="16384" width="9.140625" style="20"/>
  </cols>
  <sheetData>
    <row r="1" spans="1:10" s="23" customFormat="1" ht="15.75" customHeight="1" x14ac:dyDescent="0.35">
      <c r="B1" s="481"/>
      <c r="C1" s="481"/>
      <c r="D1" s="481"/>
      <c r="E1" s="481"/>
    </row>
    <row r="2" spans="1:10" s="23" customFormat="1" ht="15.75" customHeight="1" x14ac:dyDescent="0.35">
      <c r="B2" s="481"/>
      <c r="C2" s="481"/>
      <c r="E2" s="482" t="s">
        <v>18</v>
      </c>
    </row>
    <row r="3" spans="1:10" s="23" customFormat="1" ht="15.75" customHeight="1" x14ac:dyDescent="0.35">
      <c r="B3" s="481"/>
      <c r="C3" s="481"/>
      <c r="D3" s="481"/>
      <c r="E3" s="481"/>
    </row>
    <row r="4" spans="1:10" s="24" customFormat="1" ht="15.75" customHeight="1" x14ac:dyDescent="0.3">
      <c r="B4" s="483"/>
      <c r="C4" s="483"/>
      <c r="D4" s="483"/>
      <c r="E4" s="483"/>
    </row>
    <row r="5" spans="1:10" ht="28.5" x14ac:dyDescent="0.2">
      <c r="A5" s="16"/>
      <c r="B5" s="1091" t="s">
        <v>690</v>
      </c>
      <c r="C5" s="1091"/>
      <c r="D5" s="1091"/>
      <c r="E5" s="1091"/>
    </row>
    <row r="6" spans="1:10" ht="9" customHeight="1" x14ac:dyDescent="0.2">
      <c r="A6" s="16"/>
      <c r="B6" s="117"/>
      <c r="C6" s="117"/>
      <c r="D6" s="117"/>
      <c r="E6" s="117"/>
    </row>
    <row r="7" spans="1:10" ht="11.25" customHeight="1" x14ac:dyDescent="0.2">
      <c r="A7" s="18"/>
      <c r="B7" s="438"/>
      <c r="C7" s="438"/>
      <c r="D7" s="438"/>
      <c r="E7" s="438"/>
    </row>
    <row r="8" spans="1:10" s="23" customFormat="1" ht="11.25" customHeight="1" x14ac:dyDescent="0.35">
      <c r="B8" s="481"/>
      <c r="C8" s="481"/>
      <c r="D8" s="484"/>
      <c r="E8" s="484"/>
    </row>
    <row r="9" spans="1:10" s="23" customFormat="1" ht="34.5" customHeight="1" x14ac:dyDescent="0.25">
      <c r="B9" s="874" t="s">
        <v>0</v>
      </c>
      <c r="C9" s="1069" t="s">
        <v>682</v>
      </c>
      <c r="D9" s="763" t="s">
        <v>683</v>
      </c>
      <c r="E9" s="1041" t="s">
        <v>673</v>
      </c>
      <c r="J9" s="64"/>
    </row>
    <row r="10" spans="1:10" s="23" customFormat="1" ht="32.25" customHeight="1" x14ac:dyDescent="0.25">
      <c r="B10" s="702" t="s">
        <v>566</v>
      </c>
      <c r="C10" s="703"/>
      <c r="D10" s="906"/>
      <c r="E10" s="1042"/>
      <c r="J10" s="64"/>
    </row>
    <row r="11" spans="1:10" s="25" customFormat="1" ht="28.5" customHeight="1" x14ac:dyDescent="0.25">
      <c r="B11" s="804" t="s">
        <v>567</v>
      </c>
      <c r="C11" s="914">
        <v>186.03823009677922</v>
      </c>
      <c r="D11" s="914">
        <v>350.0148064</v>
      </c>
      <c r="E11" s="1043">
        <v>202.07783629200003</v>
      </c>
      <c r="G11" s="656"/>
      <c r="H11" s="656"/>
      <c r="J11" s="930"/>
    </row>
    <row r="12" spans="1:10" s="25" customFormat="1" ht="28.5" customHeight="1" x14ac:dyDescent="0.25">
      <c r="B12" s="832" t="s">
        <v>569</v>
      </c>
      <c r="C12" s="770">
        <v>33.776725200000044</v>
      </c>
      <c r="D12" s="770">
        <v>67.53828177000004</v>
      </c>
      <c r="E12" s="1044">
        <v>33.109958587999998</v>
      </c>
      <c r="G12" s="656"/>
      <c r="H12" s="656"/>
      <c r="J12" s="930"/>
    </row>
    <row r="13" spans="1:10" s="25" customFormat="1" ht="28.5" customHeight="1" x14ac:dyDescent="0.25">
      <c r="B13" s="833" t="s">
        <v>580</v>
      </c>
      <c r="C13" s="907">
        <v>106.31246127000004</v>
      </c>
      <c r="D13" s="907">
        <v>252.6006519</v>
      </c>
      <c r="E13" s="1045">
        <v>114.92303203999998</v>
      </c>
      <c r="G13" s="656"/>
      <c r="H13" s="656"/>
      <c r="J13" s="930"/>
    </row>
    <row r="14" spans="1:10" s="25" customFormat="1" ht="28.5" customHeight="1" x14ac:dyDescent="0.25">
      <c r="B14" s="834" t="s">
        <v>568</v>
      </c>
      <c r="C14" s="908">
        <v>68.156782883220728</v>
      </c>
      <c r="D14" s="908">
        <v>164.46274297000002</v>
      </c>
      <c r="E14" s="1046">
        <v>73.58085183</v>
      </c>
      <c r="G14" s="656"/>
      <c r="H14" s="656"/>
      <c r="J14" s="930"/>
    </row>
    <row r="15" spans="1:10" s="25" customFormat="1" ht="28.5" customHeight="1" x14ac:dyDescent="0.25">
      <c r="B15" s="837" t="s">
        <v>73</v>
      </c>
      <c r="C15" s="909">
        <f>SUM(C11:C14)</f>
        <v>394.28419945000002</v>
      </c>
      <c r="D15" s="909">
        <f>SUM(D11:D14)</f>
        <v>834.61648304000005</v>
      </c>
      <c r="E15" s="1047">
        <f>SUM(E11:E14)</f>
        <v>423.69167875000005</v>
      </c>
      <c r="J15" s="930"/>
    </row>
    <row r="16" spans="1:10" s="25" customFormat="1" ht="20.25" customHeight="1" x14ac:dyDescent="0.3">
      <c r="B16" s="836"/>
      <c r="C16" s="1067"/>
      <c r="D16" s="910"/>
      <c r="E16" s="1048"/>
      <c r="J16" s="65"/>
    </row>
    <row r="17" spans="2:10" s="25" customFormat="1" ht="33" customHeight="1" x14ac:dyDescent="0.25">
      <c r="B17" s="702" t="s">
        <v>570</v>
      </c>
      <c r="C17" s="703"/>
      <c r="D17" s="703"/>
      <c r="E17" s="1042"/>
      <c r="J17" s="65"/>
    </row>
    <row r="18" spans="2:10" s="25" customFormat="1" ht="28.5" customHeight="1" x14ac:dyDescent="0.25">
      <c r="B18" s="804" t="s">
        <v>610</v>
      </c>
      <c r="C18" s="914">
        <v>169.90458549056132</v>
      </c>
      <c r="D18" s="775">
        <v>335.35919858390258</v>
      </c>
      <c r="E18" s="1044">
        <v>186.15359856329164</v>
      </c>
      <c r="H18" s="656"/>
      <c r="I18" s="656"/>
      <c r="J18" s="930"/>
    </row>
    <row r="19" spans="2:10" s="25" customFormat="1" ht="28.5" customHeight="1" x14ac:dyDescent="0.25">
      <c r="B19" s="832" t="s">
        <v>611</v>
      </c>
      <c r="C19" s="770">
        <v>135.1158830879597</v>
      </c>
      <c r="D19" s="770">
        <v>266.35587249082033</v>
      </c>
      <c r="E19" s="1045">
        <v>149.32798431874008</v>
      </c>
      <c r="H19" s="656"/>
      <c r="I19" s="656"/>
      <c r="J19" s="930"/>
    </row>
    <row r="20" spans="2:10" s="25" customFormat="1" ht="28.5" customHeight="1" x14ac:dyDescent="0.25">
      <c r="B20" s="833" t="s">
        <v>612</v>
      </c>
      <c r="C20" s="907">
        <v>29.152311417123464</v>
      </c>
      <c r="D20" s="907">
        <v>89.40869072507698</v>
      </c>
      <c r="E20" s="1046">
        <v>26.147499614568282</v>
      </c>
      <c r="H20" s="656"/>
      <c r="I20" s="656"/>
      <c r="J20" s="930"/>
    </row>
    <row r="21" spans="2:10" s="25" customFormat="1" ht="28.5" customHeight="1" x14ac:dyDescent="0.25">
      <c r="B21" s="834" t="s">
        <v>68</v>
      </c>
      <c r="C21" s="908">
        <v>60.111419454355534</v>
      </c>
      <c r="D21" s="770">
        <v>143.49272124020004</v>
      </c>
      <c r="E21" s="1049">
        <v>62.062596253400002</v>
      </c>
      <c r="H21" s="656"/>
      <c r="I21" s="656"/>
      <c r="J21" s="930"/>
    </row>
    <row r="22" spans="2:10" s="25" customFormat="1" ht="28.5" customHeight="1" x14ac:dyDescent="0.25">
      <c r="B22" s="837" t="s">
        <v>73</v>
      </c>
      <c r="C22" s="1074">
        <f>SUM(C18:C21)</f>
        <v>394.28419945000002</v>
      </c>
      <c r="D22" s="909">
        <f>SUM(D18:D21)</f>
        <v>834.61648303999993</v>
      </c>
      <c r="E22" s="1047">
        <f>SUM(E18:E21)</f>
        <v>423.69167874999999</v>
      </c>
      <c r="J22" s="930"/>
    </row>
    <row r="23" spans="2:10" s="25" customFormat="1" ht="20.25" customHeight="1" x14ac:dyDescent="0.3">
      <c r="B23" s="836"/>
      <c r="C23" s="1067"/>
      <c r="D23" s="910"/>
      <c r="E23" s="1048"/>
      <c r="J23" s="930"/>
    </row>
    <row r="24" spans="2:10" s="25" customFormat="1" ht="32.25" customHeight="1" x14ac:dyDescent="0.25">
      <c r="B24" s="702" t="s">
        <v>684</v>
      </c>
      <c r="C24" s="703"/>
      <c r="D24" s="703"/>
      <c r="E24" s="1042"/>
      <c r="J24" s="930"/>
    </row>
    <row r="25" spans="2:10" s="25" customFormat="1" ht="28.5" customHeight="1" x14ac:dyDescent="0.25">
      <c r="B25" s="832" t="s">
        <v>688</v>
      </c>
      <c r="C25" s="1075">
        <f>E25+7.9%</f>
        <v>1.006</v>
      </c>
      <c r="D25" s="1077">
        <v>0.99299999999999999</v>
      </c>
      <c r="E25" s="1079">
        <v>0.92700000000000005</v>
      </c>
      <c r="J25" s="930"/>
    </row>
    <row r="26" spans="2:10" s="25" customFormat="1" ht="28.5" customHeight="1" x14ac:dyDescent="0.25">
      <c r="B26" s="833" t="s">
        <v>689</v>
      </c>
      <c r="C26" s="1081">
        <f>E26+1.4%</f>
        <v>0.14500000000000002</v>
      </c>
      <c r="D26" s="1076">
        <v>0.13283586204310149</v>
      </c>
      <c r="E26" s="1080">
        <v>0.13100000000000001</v>
      </c>
      <c r="J26" s="930"/>
    </row>
    <row r="27" spans="2:10" s="25" customFormat="1" ht="28.5" customHeight="1" x14ac:dyDescent="0.25">
      <c r="B27" s="1078" t="s">
        <v>691</v>
      </c>
      <c r="C27" s="907">
        <v>14.973000000000001</v>
      </c>
      <c r="D27" s="907">
        <v>48.014000000000003</v>
      </c>
      <c r="E27" s="1046">
        <v>47</v>
      </c>
      <c r="J27" s="930"/>
    </row>
    <row r="28" spans="2:10" s="25" customFormat="1" ht="20.25" customHeight="1" x14ac:dyDescent="0.3">
      <c r="B28" s="836"/>
      <c r="C28" s="1067"/>
      <c r="D28" s="910"/>
      <c r="E28" s="1048"/>
      <c r="J28" s="65"/>
    </row>
    <row r="29" spans="2:10" s="25" customFormat="1" ht="33" customHeight="1" x14ac:dyDescent="0.25">
      <c r="B29" s="702" t="s">
        <v>654</v>
      </c>
      <c r="C29" s="703"/>
      <c r="D29" s="911"/>
      <c r="E29" s="1050"/>
      <c r="J29" s="65"/>
    </row>
    <row r="30" spans="2:10" s="25" customFormat="1" ht="28.5" customHeight="1" x14ac:dyDescent="0.25">
      <c r="B30" s="804" t="s">
        <v>571</v>
      </c>
      <c r="C30" s="1070" t="s">
        <v>141</v>
      </c>
      <c r="D30" s="775">
        <v>334.16100799999998</v>
      </c>
      <c r="E30" s="1043">
        <v>301.83012500000001</v>
      </c>
      <c r="J30" s="65"/>
    </row>
    <row r="31" spans="2:10" s="25" customFormat="1" ht="28.5" customHeight="1" x14ac:dyDescent="0.25">
      <c r="B31" s="804" t="s">
        <v>572</v>
      </c>
      <c r="C31" s="1070" t="s">
        <v>141</v>
      </c>
      <c r="D31" s="775">
        <v>3135.9466889999999</v>
      </c>
      <c r="E31" s="1044">
        <v>3200.2708480000001</v>
      </c>
      <c r="J31" s="65"/>
    </row>
    <row r="32" spans="2:10" s="25" customFormat="1" ht="28.5" customHeight="1" x14ac:dyDescent="0.25">
      <c r="B32" s="833" t="s">
        <v>573</v>
      </c>
      <c r="C32" s="1071" t="s">
        <v>141</v>
      </c>
      <c r="D32" s="907">
        <v>2267.153139</v>
      </c>
      <c r="E32" s="1045">
        <v>2248.822212</v>
      </c>
      <c r="J32" s="65"/>
    </row>
    <row r="33" spans="2:11" s="25" customFormat="1" ht="28.5" customHeight="1" x14ac:dyDescent="0.25">
      <c r="B33" s="838" t="s">
        <v>574</v>
      </c>
      <c r="C33" s="1072" t="s">
        <v>141</v>
      </c>
      <c r="D33" s="912">
        <v>993.40279899999996</v>
      </c>
      <c r="E33" s="1051">
        <v>985.73650199999997</v>
      </c>
      <c r="J33" s="65"/>
    </row>
    <row r="34" spans="2:11" s="25" customFormat="1" ht="20.25" customHeight="1" x14ac:dyDescent="0.25">
      <c r="B34" s="835"/>
      <c r="C34" s="1068"/>
      <c r="D34" s="913"/>
      <c r="E34" s="1048"/>
      <c r="J34" s="65"/>
    </row>
    <row r="35" spans="2:11" s="25" customFormat="1" ht="33" customHeight="1" x14ac:dyDescent="0.25">
      <c r="B35" s="702" t="s">
        <v>655</v>
      </c>
      <c r="C35" s="703"/>
      <c r="D35" s="911"/>
      <c r="E35" s="1050"/>
      <c r="J35" s="65"/>
    </row>
    <row r="36" spans="2:11" s="25" customFormat="1" ht="28.5" customHeight="1" x14ac:dyDescent="0.25">
      <c r="B36" s="804" t="s">
        <v>575</v>
      </c>
      <c r="C36" s="1070" t="s">
        <v>141</v>
      </c>
      <c r="D36" s="775">
        <v>9.7906370000000003</v>
      </c>
      <c r="E36" s="1043">
        <v>65.684624999999997</v>
      </c>
      <c r="J36" s="65"/>
      <c r="K36" s="840"/>
    </row>
    <row r="37" spans="2:11" s="25" customFormat="1" ht="28.5" customHeight="1" x14ac:dyDescent="0.25">
      <c r="B37" s="804" t="s">
        <v>576</v>
      </c>
      <c r="C37" s="1070" t="s">
        <v>141</v>
      </c>
      <c r="D37" s="907">
        <v>6.833234</v>
      </c>
      <c r="E37" s="1045">
        <v>22.091194000000002</v>
      </c>
      <c r="J37" s="65"/>
    </row>
    <row r="38" spans="2:11" s="25" customFormat="1" ht="28.5" customHeight="1" x14ac:dyDescent="0.25">
      <c r="B38" s="838" t="s">
        <v>577</v>
      </c>
      <c r="C38" s="1072" t="s">
        <v>141</v>
      </c>
      <c r="D38" s="771">
        <f>D36-D37</f>
        <v>2.9574030000000002</v>
      </c>
      <c r="E38" s="1045">
        <f>E36-E37</f>
        <v>43.593430999999995</v>
      </c>
      <c r="J38" s="65"/>
    </row>
    <row r="39" spans="2:11" s="25" customFormat="1" ht="20.25" customHeight="1" x14ac:dyDescent="0.25">
      <c r="B39" s="839"/>
      <c r="C39" s="1068"/>
      <c r="D39" s="916"/>
      <c r="E39" s="1052"/>
      <c r="J39" s="65"/>
    </row>
    <row r="40" spans="2:11" s="25" customFormat="1" ht="33" customHeight="1" x14ac:dyDescent="0.25">
      <c r="B40" s="702" t="s">
        <v>578</v>
      </c>
      <c r="C40" s="703"/>
      <c r="D40" s="915"/>
      <c r="E40" s="1053"/>
      <c r="J40" s="65"/>
    </row>
    <row r="41" spans="2:11" ht="28.5" customHeight="1" x14ac:dyDescent="0.2">
      <c r="B41" s="809" t="s">
        <v>579</v>
      </c>
      <c r="C41" s="932">
        <v>1.9319</v>
      </c>
      <c r="D41" s="932">
        <v>1.77033</v>
      </c>
      <c r="E41" s="1054">
        <v>1.62</v>
      </c>
    </row>
    <row r="43" spans="2:11" ht="15" customHeight="1" x14ac:dyDescent="0.2">
      <c r="D43" s="67"/>
      <c r="E43" s="67"/>
    </row>
  </sheetData>
  <mergeCells count="1">
    <mergeCell ref="B5:E5"/>
  </mergeCells>
  <hyperlinks>
    <hyperlink ref="E2" location="'Cover '!A1" display="Back to Cover" xr:uid="{84B456CB-747E-42F8-8D94-56FA6648A7E9}"/>
  </hyperlinks>
  <printOptions horizontalCentered="1" verticalCentered="1"/>
  <pageMargins left="0" right="0" top="0" bottom="0" header="0" footer="0"/>
  <pageSetup paperSize="8" scale="78"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110FE-2D42-40EE-9FE6-B2DD92CA596E}">
  <sheetPr codeName="Foglio9">
    <pageSetUpPr fitToPage="1"/>
  </sheetPr>
  <dimension ref="A1:R31"/>
  <sheetViews>
    <sheetView showGridLines="0" view="pageBreakPreview" zoomScale="85" zoomScaleNormal="85" zoomScaleSheetLayoutView="85" workbookViewId="0">
      <selection activeCell="B5" sqref="B5:M5"/>
    </sheetView>
  </sheetViews>
  <sheetFormatPr defaultColWidth="9.140625" defaultRowHeight="15" customHeight="1" x14ac:dyDescent="0.2"/>
  <cols>
    <col min="1" max="1" width="2.42578125" style="20" customWidth="1"/>
    <col min="2" max="2" width="35.28515625" style="20" customWidth="1"/>
    <col min="3" max="3" width="33.85546875" style="22" customWidth="1"/>
    <col min="4" max="4" width="30.7109375" style="22" customWidth="1"/>
    <col min="5" max="5" width="19.140625" style="22" customWidth="1"/>
    <col min="6" max="6" width="21.85546875" style="96" customWidth="1"/>
    <col min="7" max="7" width="17.42578125" style="96" customWidth="1"/>
    <col min="8" max="8" width="17" style="96" customWidth="1"/>
    <col min="9" max="9" width="15.28515625" style="96" customWidth="1"/>
    <col min="10" max="10" width="16" style="96" customWidth="1"/>
    <col min="11" max="11" width="15.28515625" style="96" customWidth="1"/>
    <col min="12" max="12" width="17.28515625" style="96" customWidth="1"/>
    <col min="13" max="13" width="22.7109375" style="22" customWidth="1"/>
    <col min="14" max="14" width="2.42578125" style="20" customWidth="1"/>
    <col min="15" max="16384" width="9.140625" style="20"/>
  </cols>
  <sheetData>
    <row r="1" spans="1:18" s="23" customFormat="1" ht="15.75" customHeight="1" x14ac:dyDescent="0.35">
      <c r="B1" s="481"/>
      <c r="C1" s="481"/>
      <c r="D1" s="481"/>
      <c r="E1" s="481"/>
      <c r="F1" s="570"/>
      <c r="G1" s="570"/>
      <c r="H1" s="570"/>
      <c r="I1" s="570"/>
      <c r="J1" s="570"/>
      <c r="K1" s="570"/>
      <c r="L1" s="570"/>
      <c r="M1" s="481"/>
    </row>
    <row r="2" spans="1:18" s="23" customFormat="1" ht="15.75" customHeight="1" x14ac:dyDescent="0.35">
      <c r="B2" s="481"/>
      <c r="C2" s="506"/>
      <c r="D2" s="506"/>
      <c r="E2" s="506"/>
      <c r="F2" s="571"/>
      <c r="G2" s="571"/>
      <c r="H2" s="571"/>
      <c r="I2" s="571"/>
      <c r="J2" s="571"/>
      <c r="K2" s="571"/>
      <c r="L2" s="571"/>
      <c r="M2" s="482" t="s">
        <v>18</v>
      </c>
    </row>
    <row r="3" spans="1:18" s="23" customFormat="1" ht="15.75" customHeight="1" x14ac:dyDescent="0.35">
      <c r="B3" s="481"/>
      <c r="C3" s="481"/>
      <c r="D3" s="481"/>
      <c r="E3" s="481"/>
      <c r="F3" s="570"/>
      <c r="G3" s="570"/>
      <c r="H3" s="570"/>
      <c r="I3" s="570"/>
      <c r="J3" s="570"/>
      <c r="K3" s="570"/>
      <c r="L3" s="570"/>
      <c r="M3" s="481"/>
    </row>
    <row r="4" spans="1:18" s="24" customFormat="1" ht="15.75" customHeight="1" x14ac:dyDescent="0.3">
      <c r="B4" s="483"/>
      <c r="C4" s="483"/>
      <c r="D4" s="483"/>
      <c r="E4" s="483"/>
      <c r="F4" s="572"/>
      <c r="G4" s="572"/>
      <c r="H4" s="572"/>
      <c r="I4" s="572"/>
      <c r="J4" s="572"/>
      <c r="K4" s="572"/>
      <c r="L4" s="572"/>
      <c r="M4" s="483"/>
    </row>
    <row r="5" spans="1:18" ht="28.5" x14ac:dyDescent="0.2">
      <c r="A5" s="16"/>
      <c r="B5" s="1091" t="s">
        <v>369</v>
      </c>
      <c r="C5" s="1091"/>
      <c r="D5" s="1091"/>
      <c r="E5" s="1091"/>
      <c r="F5" s="1091"/>
      <c r="G5" s="1091"/>
      <c r="H5" s="1091"/>
      <c r="I5" s="1091"/>
      <c r="J5" s="1091"/>
      <c r="K5" s="1091"/>
      <c r="L5" s="1091"/>
      <c r="M5" s="1091"/>
    </row>
    <row r="6" spans="1:18" ht="9" customHeight="1" x14ac:dyDescent="0.2">
      <c r="A6" s="16"/>
      <c r="B6" s="117"/>
      <c r="C6" s="117"/>
      <c r="D6" s="117"/>
      <c r="E6" s="117"/>
      <c r="F6" s="117"/>
      <c r="G6" s="117"/>
      <c r="H6" s="117"/>
      <c r="I6" s="117"/>
      <c r="J6" s="117"/>
      <c r="K6" s="117"/>
      <c r="L6" s="117"/>
      <c r="M6" s="117"/>
    </row>
    <row r="7" spans="1:18" ht="11.25" customHeight="1" x14ac:dyDescent="0.2">
      <c r="A7" s="18"/>
      <c r="B7" s="438"/>
      <c r="C7" s="438"/>
      <c r="D7" s="438"/>
      <c r="E7" s="438"/>
      <c r="F7" s="438"/>
      <c r="G7" s="438"/>
      <c r="H7" s="438"/>
      <c r="I7" s="438"/>
      <c r="J7" s="438"/>
      <c r="K7" s="438"/>
      <c r="L7" s="438"/>
      <c r="M7" s="438"/>
    </row>
    <row r="8" spans="1:18" s="23" customFormat="1" ht="11.25" customHeight="1" x14ac:dyDescent="0.35">
      <c r="B8" s="481"/>
      <c r="C8" s="484"/>
      <c r="D8" s="484"/>
      <c r="E8" s="484"/>
      <c r="F8" s="484"/>
      <c r="G8" s="484"/>
      <c r="H8" s="484"/>
      <c r="I8" s="484"/>
      <c r="J8" s="484"/>
      <c r="K8" s="484"/>
      <c r="L8" s="484"/>
      <c r="M8" s="484"/>
    </row>
    <row r="9" spans="1:18" s="23" customFormat="1" ht="34.5" customHeight="1" x14ac:dyDescent="0.25">
      <c r="B9" s="573"/>
      <c r="C9" s="574" t="s">
        <v>269</v>
      </c>
      <c r="D9" s="574" t="s">
        <v>436</v>
      </c>
      <c r="E9" s="574" t="s">
        <v>270</v>
      </c>
      <c r="F9" s="574" t="s">
        <v>271</v>
      </c>
      <c r="G9" s="574" t="s">
        <v>272</v>
      </c>
      <c r="H9" s="574" t="s">
        <v>273</v>
      </c>
      <c r="I9" s="574" t="s">
        <v>274</v>
      </c>
      <c r="J9" s="574" t="s">
        <v>275</v>
      </c>
      <c r="K9" s="574" t="s">
        <v>276</v>
      </c>
      <c r="L9" s="574" t="s">
        <v>277</v>
      </c>
      <c r="M9" s="575" t="s">
        <v>278</v>
      </c>
      <c r="R9" s="64"/>
    </row>
    <row r="10" spans="1:18" s="23" customFormat="1" ht="32.25" customHeight="1" x14ac:dyDescent="0.25">
      <c r="B10" s="702" t="s">
        <v>385</v>
      </c>
      <c r="C10" s="700"/>
      <c r="D10" s="700"/>
      <c r="E10" s="700"/>
      <c r="F10" s="700"/>
      <c r="G10" s="700"/>
      <c r="H10" s="700"/>
      <c r="I10" s="700"/>
      <c r="J10" s="700"/>
      <c r="K10" s="700"/>
      <c r="L10" s="700"/>
      <c r="M10" s="701"/>
      <c r="R10" s="64"/>
    </row>
    <row r="11" spans="1:18" s="25" customFormat="1" ht="49.15" customHeight="1" x14ac:dyDescent="0.25">
      <c r="B11" s="705" t="s">
        <v>310</v>
      </c>
      <c r="C11" s="674" t="s">
        <v>279</v>
      </c>
      <c r="D11" s="674" t="s">
        <v>437</v>
      </c>
      <c r="E11" s="674">
        <v>500000000</v>
      </c>
      <c r="F11" s="674" t="s">
        <v>280</v>
      </c>
      <c r="G11" s="674" t="s">
        <v>281</v>
      </c>
      <c r="H11" s="674" t="s">
        <v>282</v>
      </c>
      <c r="I11" s="674" t="s">
        <v>283</v>
      </c>
      <c r="J11" s="675" t="s">
        <v>284</v>
      </c>
      <c r="K11" s="674" t="s">
        <v>285</v>
      </c>
      <c r="L11" s="674" t="s">
        <v>286</v>
      </c>
      <c r="M11" s="676" t="s">
        <v>287</v>
      </c>
      <c r="R11" s="65"/>
    </row>
    <row r="12" spans="1:18" s="25" customFormat="1" ht="49.15" customHeight="1" x14ac:dyDescent="0.25">
      <c r="B12" s="707" t="s">
        <v>311</v>
      </c>
      <c r="C12" s="679" t="s">
        <v>279</v>
      </c>
      <c r="D12" s="674" t="s">
        <v>437</v>
      </c>
      <c r="E12" s="680">
        <v>500000000</v>
      </c>
      <c r="F12" s="679" t="s">
        <v>288</v>
      </c>
      <c r="G12" s="679" t="s">
        <v>289</v>
      </c>
      <c r="H12" s="679" t="s">
        <v>290</v>
      </c>
      <c r="I12" s="679" t="s">
        <v>291</v>
      </c>
      <c r="J12" s="679" t="s">
        <v>292</v>
      </c>
      <c r="K12" s="679" t="s">
        <v>285</v>
      </c>
      <c r="L12" s="679" t="s">
        <v>293</v>
      </c>
      <c r="M12" s="681" t="s">
        <v>287</v>
      </c>
      <c r="R12" s="65"/>
    </row>
    <row r="13" spans="1:18" s="25" customFormat="1" ht="49.15" customHeight="1" x14ac:dyDescent="0.25">
      <c r="B13" s="706" t="s">
        <v>312</v>
      </c>
      <c r="C13" s="677" t="s">
        <v>279</v>
      </c>
      <c r="D13" s="674" t="s">
        <v>484</v>
      </c>
      <c r="E13" s="677">
        <v>500000000</v>
      </c>
      <c r="F13" s="677" t="s">
        <v>294</v>
      </c>
      <c r="G13" s="677" t="s">
        <v>295</v>
      </c>
      <c r="H13" s="677" t="s">
        <v>296</v>
      </c>
      <c r="I13" s="677" t="s">
        <v>297</v>
      </c>
      <c r="J13" s="677" t="s">
        <v>298</v>
      </c>
      <c r="K13" s="677" t="s">
        <v>285</v>
      </c>
      <c r="L13" s="677" t="s">
        <v>299</v>
      </c>
      <c r="M13" s="678" t="s">
        <v>287</v>
      </c>
      <c r="R13" s="65"/>
    </row>
    <row r="14" spans="1:18" s="25" customFormat="1" ht="49.15" customHeight="1" x14ac:dyDescent="0.25">
      <c r="B14" s="708" t="s">
        <v>313</v>
      </c>
      <c r="C14" s="682" t="s">
        <v>279</v>
      </c>
      <c r="D14" s="674" t="s">
        <v>484</v>
      </c>
      <c r="E14" s="682">
        <v>500000000</v>
      </c>
      <c r="F14" s="682" t="s">
        <v>300</v>
      </c>
      <c r="G14" s="682" t="s">
        <v>301</v>
      </c>
      <c r="H14" s="682" t="s">
        <v>302</v>
      </c>
      <c r="I14" s="682" t="s">
        <v>303</v>
      </c>
      <c r="J14" s="682" t="s">
        <v>304</v>
      </c>
      <c r="K14" s="682" t="s">
        <v>285</v>
      </c>
      <c r="L14" s="682" t="s">
        <v>305</v>
      </c>
      <c r="M14" s="683" t="s">
        <v>287</v>
      </c>
      <c r="R14" s="65"/>
    </row>
    <row r="15" spans="1:18" s="25" customFormat="1" ht="49.15" customHeight="1" x14ac:dyDescent="0.25">
      <c r="B15" s="707" t="s">
        <v>365</v>
      </c>
      <c r="C15" s="682" t="s">
        <v>279</v>
      </c>
      <c r="D15" s="674" t="s">
        <v>438</v>
      </c>
      <c r="E15" s="682">
        <v>650000000</v>
      </c>
      <c r="F15" s="689" t="s">
        <v>364</v>
      </c>
      <c r="G15" s="688">
        <v>45490</v>
      </c>
      <c r="H15" s="688">
        <v>46951</v>
      </c>
      <c r="I15" s="689" t="s">
        <v>363</v>
      </c>
      <c r="J15" s="688">
        <v>47316</v>
      </c>
      <c r="K15" s="689" t="s">
        <v>285</v>
      </c>
      <c r="L15" s="682" t="s">
        <v>362</v>
      </c>
      <c r="M15" s="683" t="s">
        <v>287</v>
      </c>
      <c r="R15" s="65"/>
    </row>
    <row r="16" spans="1:18" s="25" customFormat="1" ht="49.15" customHeight="1" x14ac:dyDescent="0.25">
      <c r="B16" s="708" t="s">
        <v>428</v>
      </c>
      <c r="C16" s="682" t="s">
        <v>279</v>
      </c>
      <c r="D16" s="674" t="s">
        <v>438</v>
      </c>
      <c r="E16" s="682">
        <v>500000000</v>
      </c>
      <c r="F16" s="689" t="s">
        <v>429</v>
      </c>
      <c r="G16" s="688">
        <v>45811</v>
      </c>
      <c r="H16" s="688">
        <v>46724</v>
      </c>
      <c r="I16" s="689" t="s">
        <v>430</v>
      </c>
      <c r="J16" s="688">
        <v>47090</v>
      </c>
      <c r="K16" s="689" t="s">
        <v>285</v>
      </c>
      <c r="L16" s="682" t="s">
        <v>431</v>
      </c>
      <c r="M16" s="683" t="s">
        <v>287</v>
      </c>
      <c r="R16" s="65"/>
    </row>
    <row r="17" spans="2:18" s="25" customFormat="1" ht="46.5" customHeight="1" x14ac:dyDescent="0.25">
      <c r="B17" s="708" t="s">
        <v>581</v>
      </c>
      <c r="C17" s="680" t="s">
        <v>279</v>
      </c>
      <c r="D17" s="680" t="s">
        <v>438</v>
      </c>
      <c r="E17" s="680">
        <v>500000000</v>
      </c>
      <c r="F17" s="689" t="s">
        <v>582</v>
      </c>
      <c r="G17" s="684">
        <v>45993</v>
      </c>
      <c r="H17" s="684">
        <v>47819</v>
      </c>
      <c r="I17" s="689" t="s">
        <v>583</v>
      </c>
      <c r="J17" s="684">
        <v>48184</v>
      </c>
      <c r="K17" s="689" t="s">
        <v>285</v>
      </c>
      <c r="L17" s="680" t="s">
        <v>584</v>
      </c>
      <c r="M17" s="690" t="s">
        <v>287</v>
      </c>
      <c r="R17" s="65"/>
    </row>
    <row r="18" spans="2:18" s="25" customFormat="1" ht="20.25" customHeight="1" x14ac:dyDescent="0.3">
      <c r="B18" s="711"/>
      <c r="C18" s="691"/>
      <c r="D18" s="691"/>
      <c r="E18" s="691"/>
      <c r="F18" s="691"/>
      <c r="G18" s="691"/>
      <c r="H18" s="691"/>
      <c r="I18" s="691"/>
      <c r="J18" s="691"/>
      <c r="K18" s="691"/>
      <c r="L18" s="691"/>
      <c r="M18" s="692"/>
      <c r="R18" s="65"/>
    </row>
    <row r="19" spans="2:18" s="25" customFormat="1" ht="33.75" customHeight="1" x14ac:dyDescent="0.25">
      <c r="B19" s="702" t="s">
        <v>384</v>
      </c>
      <c r="C19" s="703"/>
      <c r="D19" s="703"/>
      <c r="E19" s="703"/>
      <c r="F19" s="703"/>
      <c r="G19" s="703"/>
      <c r="H19" s="703"/>
      <c r="I19" s="703"/>
      <c r="J19" s="703"/>
      <c r="K19" s="703"/>
      <c r="L19" s="703"/>
      <c r="M19" s="704"/>
      <c r="R19" s="65"/>
    </row>
    <row r="20" spans="2:18" s="25" customFormat="1" ht="49.15" customHeight="1" x14ac:dyDescent="0.25">
      <c r="B20" s="707" t="s">
        <v>314</v>
      </c>
      <c r="C20" s="677" t="s">
        <v>279</v>
      </c>
      <c r="D20" s="677" t="s">
        <v>585</v>
      </c>
      <c r="E20" s="677">
        <v>500000000</v>
      </c>
      <c r="F20" s="677" t="s">
        <v>288</v>
      </c>
      <c r="G20" s="688">
        <v>45308</v>
      </c>
      <c r="H20" s="688">
        <v>47135</v>
      </c>
      <c r="I20" s="677" t="s">
        <v>306</v>
      </c>
      <c r="J20" s="688">
        <v>414293</v>
      </c>
      <c r="K20" s="677" t="s">
        <v>285</v>
      </c>
      <c r="L20" s="677" t="s">
        <v>307</v>
      </c>
      <c r="M20" s="678" t="s">
        <v>287</v>
      </c>
      <c r="R20" s="65"/>
    </row>
    <row r="21" spans="2:18" s="25" customFormat="1" ht="49.15" customHeight="1" x14ac:dyDescent="0.25">
      <c r="B21" s="709" t="s">
        <v>373</v>
      </c>
      <c r="C21" s="679" t="s">
        <v>279</v>
      </c>
      <c r="D21" s="679" t="s">
        <v>586</v>
      </c>
      <c r="E21" s="680">
        <v>650000000</v>
      </c>
      <c r="F21" s="679" t="s">
        <v>374</v>
      </c>
      <c r="G21" s="684">
        <v>45553</v>
      </c>
      <c r="H21" s="684">
        <v>47652</v>
      </c>
      <c r="I21" s="680" t="s">
        <v>376</v>
      </c>
      <c r="J21" s="684">
        <v>49570</v>
      </c>
      <c r="K21" s="689" t="s">
        <v>285</v>
      </c>
      <c r="L21" s="680" t="s">
        <v>375</v>
      </c>
      <c r="M21" s="681" t="s">
        <v>287</v>
      </c>
      <c r="R21" s="65"/>
    </row>
    <row r="22" spans="2:18" s="25" customFormat="1" ht="18.600000000000001" customHeight="1" x14ac:dyDescent="0.3">
      <c r="B22" s="712"/>
      <c r="C22" s="693"/>
      <c r="D22" s="693"/>
      <c r="E22" s="693"/>
      <c r="F22" s="693"/>
      <c r="G22" s="693"/>
      <c r="H22" s="693"/>
      <c r="I22" s="693"/>
      <c r="J22" s="693"/>
      <c r="K22" s="693"/>
      <c r="L22" s="693"/>
      <c r="M22" s="694"/>
      <c r="R22" s="65"/>
    </row>
    <row r="23" spans="2:18" s="25" customFormat="1" ht="33" customHeight="1" x14ac:dyDescent="0.25">
      <c r="B23" s="702" t="s">
        <v>383</v>
      </c>
      <c r="C23" s="703"/>
      <c r="D23" s="703"/>
      <c r="E23" s="703"/>
      <c r="F23" s="703"/>
      <c r="G23" s="703"/>
      <c r="H23" s="703"/>
      <c r="I23" s="703"/>
      <c r="J23" s="703"/>
      <c r="K23" s="703"/>
      <c r="L23" s="703"/>
      <c r="M23" s="704"/>
      <c r="R23" s="65"/>
    </row>
    <row r="24" spans="2:18" s="25" customFormat="1" ht="48.75" customHeight="1" x14ac:dyDescent="0.25">
      <c r="B24" s="707" t="s">
        <v>423</v>
      </c>
      <c r="C24" s="677" t="s">
        <v>279</v>
      </c>
      <c r="D24" s="677" t="s">
        <v>439</v>
      </c>
      <c r="E24" s="677">
        <v>400000000</v>
      </c>
      <c r="F24" s="677" t="s">
        <v>424</v>
      </c>
      <c r="G24" s="688">
        <v>45838</v>
      </c>
      <c r="H24" s="688">
        <v>47847</v>
      </c>
      <c r="I24" s="677" t="s">
        <v>425</v>
      </c>
      <c r="J24" s="688" t="s">
        <v>308</v>
      </c>
      <c r="K24" s="677" t="s">
        <v>426</v>
      </c>
      <c r="L24" s="677" t="s">
        <v>427</v>
      </c>
      <c r="M24" s="678" t="s">
        <v>309</v>
      </c>
      <c r="R24" s="65"/>
    </row>
    <row r="25" spans="2:18" s="25" customFormat="1" ht="49.5" customHeight="1" x14ac:dyDescent="0.25">
      <c r="B25" s="710" t="s">
        <v>462</v>
      </c>
      <c r="C25" s="685" t="s">
        <v>279</v>
      </c>
      <c r="D25" s="685" t="s">
        <v>439</v>
      </c>
      <c r="E25" s="685">
        <v>600000000</v>
      </c>
      <c r="F25" s="685" t="s">
        <v>463</v>
      </c>
      <c r="G25" s="749">
        <v>45945</v>
      </c>
      <c r="H25" s="749">
        <v>48502</v>
      </c>
      <c r="I25" s="685" t="s">
        <v>464</v>
      </c>
      <c r="J25" s="686" t="s">
        <v>308</v>
      </c>
      <c r="K25" s="686" t="s">
        <v>426</v>
      </c>
      <c r="L25" s="686" t="s">
        <v>465</v>
      </c>
      <c r="M25" s="687" t="s">
        <v>309</v>
      </c>
      <c r="R25" s="65"/>
    </row>
    <row r="26" spans="2:18" s="26" customFormat="1" ht="11.25" customHeight="1" x14ac:dyDescent="0.35">
      <c r="B26" s="531"/>
      <c r="C26" s="512"/>
      <c r="D26" s="512"/>
      <c r="E26" s="512"/>
      <c r="F26" s="576"/>
      <c r="G26" s="576"/>
      <c r="H26" s="576"/>
      <c r="I26" s="576"/>
      <c r="J26" s="576"/>
      <c r="K26" s="576"/>
      <c r="L26" s="576"/>
      <c r="M26" s="512"/>
    </row>
    <row r="27" spans="2:18" s="26" customFormat="1" ht="16.149999999999999" customHeight="1" x14ac:dyDescent="0.3">
      <c r="B27" s="1092"/>
      <c r="C27" s="1116"/>
      <c r="D27" s="1116"/>
      <c r="E27" s="1116"/>
      <c r="F27" s="1116"/>
      <c r="G27" s="1116"/>
      <c r="H27" s="1116"/>
      <c r="I27" s="1116"/>
      <c r="J27" s="1116"/>
      <c r="K27" s="1116"/>
      <c r="L27" s="1116"/>
      <c r="M27" s="1116"/>
      <c r="N27" s="1116"/>
    </row>
    <row r="28" spans="2:18" s="19" customFormat="1" ht="22.5" customHeight="1" x14ac:dyDescent="0.2">
      <c r="B28" s="1094"/>
      <c r="C28" s="1094"/>
      <c r="D28" s="1094"/>
      <c r="E28" s="1094"/>
      <c r="F28" s="1094"/>
      <c r="G28" s="1094"/>
      <c r="H28" s="1094"/>
      <c r="I28" s="1094"/>
      <c r="J28" s="1094"/>
      <c r="K28" s="1094"/>
      <c r="L28" s="1094"/>
      <c r="M28" s="1094"/>
    </row>
    <row r="31" spans="2:18" ht="15" customHeight="1" x14ac:dyDescent="0.2">
      <c r="C31" s="67"/>
      <c r="D31" s="67"/>
      <c r="E31" s="67"/>
      <c r="F31" s="95"/>
      <c r="G31" s="95"/>
      <c r="H31" s="95"/>
      <c r="I31" s="95"/>
      <c r="J31" s="95"/>
      <c r="K31" s="95"/>
      <c r="L31" s="95"/>
      <c r="M31" s="67"/>
    </row>
  </sheetData>
  <mergeCells count="3">
    <mergeCell ref="B5:M5"/>
    <mergeCell ref="B28:M28"/>
    <mergeCell ref="B27:N27"/>
  </mergeCells>
  <phoneticPr fontId="24" type="noConversion"/>
  <hyperlinks>
    <hyperlink ref="M2" location="'Cover '!A1" display="Back to Cover" xr:uid="{6A785561-1ABB-450D-922C-2DE3064F5E6A}"/>
  </hyperlinks>
  <printOptions horizontalCentered="1" verticalCentered="1"/>
  <pageMargins left="0" right="0" top="0" bottom="0" header="0" footer="0"/>
  <pageSetup paperSize="8" scale="77" orientation="landscape" r:id="rId1"/>
  <headerFooter alignWithMargins="0"/>
  <ignoredErrors>
    <ignoredError sqref="G11:L11 J25 G12:M13 G14:H14 J14 G22:M22 M25"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DACEC-FD43-4FEF-92A4-C86FA3CD7EF4}">
  <sheetPr codeName="Sheet4">
    <pageSetUpPr fitToPage="1"/>
  </sheetPr>
  <dimension ref="A1:T73"/>
  <sheetViews>
    <sheetView showGridLines="0" view="pageBreakPreview" zoomScale="80" zoomScaleNormal="90" zoomScaleSheetLayoutView="80" workbookViewId="0">
      <pane xSplit="2" ySplit="9" topLeftCell="C10" activePane="bottomRight" state="frozen"/>
      <selection pane="topRight" activeCell="C1" sqref="C1"/>
      <selection pane="bottomLeft" activeCell="A10" sqref="A10"/>
      <selection pane="bottomRight" activeCell="R62" sqref="R62"/>
    </sheetView>
  </sheetViews>
  <sheetFormatPr defaultColWidth="9.140625" defaultRowHeight="15" x14ac:dyDescent="0.2"/>
  <cols>
    <col min="1" max="1" width="2.42578125" style="111" customWidth="1"/>
    <col min="2" max="2" width="77" style="111" customWidth="1"/>
    <col min="3" max="14" width="17.42578125" style="111" customWidth="1"/>
    <col min="15" max="15" width="2.42578125" style="111" customWidth="1"/>
    <col min="16" max="16" width="9.140625" style="111"/>
    <col min="17" max="17" width="22.5703125" style="111" customWidth="1"/>
    <col min="18" max="18" width="10.28515625" style="111" customWidth="1"/>
    <col min="19" max="16384" width="9.140625" style="111"/>
  </cols>
  <sheetData>
    <row r="1" spans="1:19" s="110" customFormat="1" ht="15.75" customHeight="1" x14ac:dyDescent="0.2">
      <c r="B1" s="111"/>
      <c r="C1" s="111"/>
      <c r="D1" s="111"/>
      <c r="E1" s="111"/>
      <c r="F1" s="111"/>
      <c r="G1" s="111"/>
      <c r="H1" s="111"/>
      <c r="I1" s="111"/>
      <c r="J1" s="111"/>
      <c r="K1" s="111"/>
      <c r="L1" s="111"/>
      <c r="M1" s="111"/>
      <c r="N1" s="111"/>
    </row>
    <row r="2" spans="1:19" s="110" customFormat="1" ht="15.75" customHeight="1" x14ac:dyDescent="0.2">
      <c r="B2" s="111"/>
      <c r="N2" s="112" t="s">
        <v>18</v>
      </c>
    </row>
    <row r="3" spans="1:19" s="110" customFormat="1" ht="15.75" customHeight="1" x14ac:dyDescent="0.2">
      <c r="B3" s="111"/>
    </row>
    <row r="4" spans="1:19" ht="15.75" customHeight="1" x14ac:dyDescent="0.2"/>
    <row r="5" spans="1:19" s="116" customFormat="1" ht="28.5" x14ac:dyDescent="0.2">
      <c r="A5" s="115"/>
      <c r="B5" s="1091" t="s">
        <v>106</v>
      </c>
      <c r="C5" s="1091"/>
      <c r="D5" s="1091"/>
      <c r="E5" s="1091"/>
      <c r="F5" s="1091"/>
      <c r="G5" s="1091"/>
      <c r="H5" s="1091"/>
      <c r="I5" s="1091"/>
      <c r="J5" s="1091"/>
      <c r="K5" s="1091"/>
      <c r="L5" s="1091"/>
      <c r="M5" s="1091"/>
      <c r="N5" s="1091"/>
    </row>
    <row r="6" spans="1:19" s="116" customFormat="1" ht="9" customHeight="1" x14ac:dyDescent="0.2">
      <c r="A6" s="115"/>
      <c r="B6" s="117"/>
      <c r="C6" s="117"/>
      <c r="D6" s="117"/>
      <c r="E6" s="117"/>
      <c r="F6" s="117"/>
      <c r="G6" s="117"/>
      <c r="H6" s="117"/>
      <c r="I6" s="117"/>
      <c r="J6" s="117"/>
      <c r="K6" s="117"/>
      <c r="L6" s="117"/>
      <c r="M6" s="117"/>
      <c r="N6" s="117"/>
    </row>
    <row r="7" spans="1:19" s="110" customFormat="1" ht="9" customHeight="1" x14ac:dyDescent="0.2">
      <c r="B7" s="111"/>
      <c r="C7" s="118"/>
      <c r="D7" s="118"/>
      <c r="E7" s="118"/>
      <c r="F7" s="118"/>
      <c r="G7" s="118"/>
      <c r="H7" s="118"/>
      <c r="I7" s="118"/>
      <c r="J7" s="118"/>
      <c r="K7" s="118"/>
      <c r="L7" s="118"/>
      <c r="M7" s="118"/>
      <c r="N7" s="118"/>
    </row>
    <row r="8" spans="1:19" s="110" customFormat="1" ht="16.5" customHeight="1" x14ac:dyDescent="0.2">
      <c r="B8" s="138" t="s">
        <v>0</v>
      </c>
      <c r="C8" s="118"/>
      <c r="D8" s="118"/>
      <c r="E8" s="118"/>
      <c r="F8" s="118"/>
      <c r="G8" s="118"/>
      <c r="H8" s="118"/>
      <c r="I8" s="118"/>
      <c r="J8" s="118"/>
      <c r="K8" s="118"/>
      <c r="L8" s="118"/>
      <c r="M8" s="118"/>
      <c r="N8" s="118"/>
    </row>
    <row r="9" spans="1:19" s="110" customFormat="1" ht="24" customHeight="1" x14ac:dyDescent="0.2">
      <c r="B9" s="139" t="s">
        <v>104</v>
      </c>
      <c r="C9" s="140" t="s">
        <v>256</v>
      </c>
      <c r="D9" s="140" t="s">
        <v>336</v>
      </c>
      <c r="E9" s="140" t="s">
        <v>371</v>
      </c>
      <c r="F9" s="140" t="s">
        <v>388</v>
      </c>
      <c r="G9" s="140" t="s">
        <v>413</v>
      </c>
      <c r="H9" s="140" t="s">
        <v>420</v>
      </c>
      <c r="I9" s="140" t="s">
        <v>460</v>
      </c>
      <c r="J9" s="140" t="s">
        <v>512</v>
      </c>
      <c r="K9" s="179" t="s">
        <v>645</v>
      </c>
      <c r="L9" s="1006" t="s">
        <v>665</v>
      </c>
      <c r="M9" s="140" t="s">
        <v>421</v>
      </c>
      <c r="N9" s="878" t="s">
        <v>667</v>
      </c>
    </row>
    <row r="10" spans="1:19" s="119" customFormat="1" ht="24" customHeight="1" x14ac:dyDescent="0.2">
      <c r="B10" s="141" t="s">
        <v>1</v>
      </c>
      <c r="C10" s="142">
        <v>517.62899999999991</v>
      </c>
      <c r="D10" s="143">
        <v>527.55799999999999</v>
      </c>
      <c r="E10" s="143">
        <v>529.50533123000014</v>
      </c>
      <c r="F10" s="143">
        <v>513.51499999999999</v>
      </c>
      <c r="G10" s="143">
        <v>480.952</v>
      </c>
      <c r="H10" s="143">
        <v>473.56599999999997</v>
      </c>
      <c r="I10" s="143">
        <v>471.23099999999999</v>
      </c>
      <c r="J10" s="143">
        <v>476.851</v>
      </c>
      <c r="K10" s="979">
        <v>481.29699999999997</v>
      </c>
      <c r="L10" s="1009">
        <v>508.68299999999994</v>
      </c>
      <c r="M10" s="143">
        <v>954.51800000000003</v>
      </c>
      <c r="N10" s="879">
        <v>989.9799999999999</v>
      </c>
      <c r="Q10" s="120"/>
    </row>
    <row r="11" spans="1:19" s="119" customFormat="1" ht="24" customHeight="1" x14ac:dyDescent="0.2">
      <c r="B11" s="141" t="s">
        <v>621</v>
      </c>
      <c r="C11" s="142">
        <v>145.32</v>
      </c>
      <c r="D11" s="143">
        <v>179.239</v>
      </c>
      <c r="E11" s="143">
        <v>155.89676098999999</v>
      </c>
      <c r="F11" s="143">
        <v>167.35399999999998</v>
      </c>
      <c r="G11" s="143">
        <v>159.72299999999998</v>
      </c>
      <c r="H11" s="143">
        <v>165.53200000000001</v>
      </c>
      <c r="I11" s="143">
        <v>163.86399999999998</v>
      </c>
      <c r="J11" s="143">
        <v>206.49499399999999</v>
      </c>
      <c r="K11" s="979">
        <v>210.34699700000002</v>
      </c>
      <c r="L11" s="1009">
        <v>251.17207500000001</v>
      </c>
      <c r="M11" s="143">
        <v>325.255</v>
      </c>
      <c r="N11" s="879">
        <v>461.51907200000005</v>
      </c>
      <c r="P11" s="742"/>
      <c r="Q11" s="120"/>
    </row>
    <row r="12" spans="1:19" s="119" customFormat="1" ht="24" customHeight="1" x14ac:dyDescent="0.2">
      <c r="B12" s="141" t="s">
        <v>595</v>
      </c>
      <c r="C12" s="142">
        <v>0</v>
      </c>
      <c r="D12" s="143">
        <v>11.949892</v>
      </c>
      <c r="E12" s="143">
        <v>0</v>
      </c>
      <c r="F12" s="143">
        <v>0</v>
      </c>
      <c r="G12" s="143">
        <v>0</v>
      </c>
      <c r="H12" s="143">
        <v>0</v>
      </c>
      <c r="I12" s="143">
        <v>0</v>
      </c>
      <c r="J12" s="143">
        <v>0</v>
      </c>
      <c r="K12" s="979">
        <v>0</v>
      </c>
      <c r="L12" s="1009">
        <v>0</v>
      </c>
      <c r="M12" s="143">
        <v>0</v>
      </c>
      <c r="N12" s="879">
        <v>0</v>
      </c>
      <c r="Q12" s="120"/>
    </row>
    <row r="13" spans="1:19" s="119" customFormat="1" ht="24" customHeight="1" x14ac:dyDescent="0.2">
      <c r="B13" s="141" t="s">
        <v>622</v>
      </c>
      <c r="C13" s="142">
        <v>-4.4270000000000005</v>
      </c>
      <c r="D13" s="143">
        <v>7.47</v>
      </c>
      <c r="E13" s="143">
        <v>33.253386879999915</v>
      </c>
      <c r="F13" s="143">
        <v>28.351999999999997</v>
      </c>
      <c r="G13" s="143">
        <v>18.872999999999998</v>
      </c>
      <c r="H13" s="143">
        <v>47.170999999999999</v>
      </c>
      <c r="I13" s="143">
        <v>18.641000000000002</v>
      </c>
      <c r="J13" s="143">
        <v>34.754941228987974</v>
      </c>
      <c r="K13" s="979">
        <v>-17.545000000000002</v>
      </c>
      <c r="L13" s="1009">
        <v>20.786000000000005</v>
      </c>
      <c r="M13" s="143">
        <v>66.043999999999997</v>
      </c>
      <c r="N13" s="879">
        <v>3.2410000000000032</v>
      </c>
      <c r="P13" s="120"/>
      <c r="Q13" s="742"/>
      <c r="S13" s="742"/>
    </row>
    <row r="14" spans="1:19" s="119" customFormat="1" ht="24" customHeight="1" x14ac:dyDescent="0.2">
      <c r="B14" s="141" t="s">
        <v>241</v>
      </c>
      <c r="C14" s="142">
        <v>-66.650999999999996</v>
      </c>
      <c r="D14" s="143">
        <v>11.755000000000001</v>
      </c>
      <c r="E14" s="143">
        <v>-9.9486770399999891</v>
      </c>
      <c r="F14" s="143">
        <v>20.843</v>
      </c>
      <c r="G14" s="143">
        <v>-10.088000000000001</v>
      </c>
      <c r="H14" s="143">
        <v>0.70700000000000007</v>
      </c>
      <c r="I14" s="143">
        <v>-5.3029999999999999</v>
      </c>
      <c r="J14" s="143">
        <v>4.4050060000000002</v>
      </c>
      <c r="K14" s="979">
        <v>-13.642996999999999</v>
      </c>
      <c r="L14" s="1009">
        <v>7.3189250000000001</v>
      </c>
      <c r="M14" s="143">
        <v>-9.3810000000000002</v>
      </c>
      <c r="N14" s="879">
        <v>-6.3240719999999992</v>
      </c>
      <c r="Q14" s="742"/>
    </row>
    <row r="15" spans="1:19" s="119" customFormat="1" ht="24" customHeight="1" x14ac:dyDescent="0.2">
      <c r="B15" s="141" t="s">
        <v>262</v>
      </c>
      <c r="C15" s="142">
        <v>-43.292000000000002</v>
      </c>
      <c r="D15" s="143">
        <v>0</v>
      </c>
      <c r="E15" s="143">
        <v>0</v>
      </c>
      <c r="F15" s="143">
        <v>0</v>
      </c>
      <c r="G15" s="143">
        <v>0</v>
      </c>
      <c r="H15" s="143">
        <v>0</v>
      </c>
      <c r="I15" s="143">
        <v>0</v>
      </c>
      <c r="J15" s="143">
        <v>0</v>
      </c>
      <c r="K15" s="979">
        <v>0</v>
      </c>
      <c r="L15" s="1009">
        <v>0</v>
      </c>
      <c r="M15" s="143">
        <v>0</v>
      </c>
      <c r="N15" s="879">
        <v>0</v>
      </c>
      <c r="Q15" s="120"/>
    </row>
    <row r="16" spans="1:19" s="119" customFormat="1" ht="24" customHeight="1" x14ac:dyDescent="0.2">
      <c r="B16" s="147" t="s">
        <v>157</v>
      </c>
      <c r="C16" s="149">
        <f t="shared" ref="C16:H16" si="0">C10+C11+C13+C14</f>
        <v>591.87099999999987</v>
      </c>
      <c r="D16" s="148">
        <f t="shared" si="0"/>
        <v>726.02200000000005</v>
      </c>
      <c r="E16" s="148">
        <f t="shared" si="0"/>
        <v>708.70680205999997</v>
      </c>
      <c r="F16" s="148">
        <f t="shared" si="0"/>
        <v>730.06399999999985</v>
      </c>
      <c r="G16" s="148">
        <f t="shared" si="0"/>
        <v>649.46</v>
      </c>
      <c r="H16" s="148">
        <f t="shared" si="0"/>
        <v>686.976</v>
      </c>
      <c r="I16" s="148">
        <f t="shared" ref="I16:N16" si="1">I10+I11+I13+I14</f>
        <v>648.43299999999999</v>
      </c>
      <c r="J16" s="148">
        <f t="shared" si="1"/>
        <v>722.50594122898792</v>
      </c>
      <c r="K16" s="1000">
        <f t="shared" si="1"/>
        <v>660.45600000000002</v>
      </c>
      <c r="L16" s="1010">
        <f t="shared" si="1"/>
        <v>787.96</v>
      </c>
      <c r="M16" s="148">
        <f t="shared" si="1"/>
        <v>1336.4360000000001</v>
      </c>
      <c r="N16" s="880">
        <f t="shared" si="1"/>
        <v>1448.4160000000002</v>
      </c>
      <c r="Q16" s="120"/>
      <c r="S16" s="120"/>
    </row>
    <row r="17" spans="2:19" s="119" customFormat="1" ht="24" customHeight="1" x14ac:dyDescent="0.2">
      <c r="B17" s="141" t="s">
        <v>2</v>
      </c>
      <c r="C17" s="142">
        <v>-100.86799999999999</v>
      </c>
      <c r="D17" s="143">
        <v>-100.80200000000001</v>
      </c>
      <c r="E17" s="143">
        <v>-101.65485525</v>
      </c>
      <c r="F17" s="143">
        <v>-151.71899999999999</v>
      </c>
      <c r="G17" s="143">
        <v>-99.093000000000004</v>
      </c>
      <c r="H17" s="143">
        <v>-103.46299999999999</v>
      </c>
      <c r="I17" s="143">
        <v>-99.442999999999998</v>
      </c>
      <c r="J17" s="143">
        <v>-140.399</v>
      </c>
      <c r="K17" s="979">
        <v>-108.682</v>
      </c>
      <c r="L17" s="1009">
        <v>-125.53400000000001</v>
      </c>
      <c r="M17" s="143">
        <v>-202.55599999999998</v>
      </c>
      <c r="N17" s="879">
        <v>-234.21600000000001</v>
      </c>
      <c r="Q17" s="120"/>
    </row>
    <row r="18" spans="2:19" s="119" customFormat="1" ht="24" customHeight="1" x14ac:dyDescent="0.2">
      <c r="B18" s="141" t="s">
        <v>158</v>
      </c>
      <c r="C18" s="142">
        <v>-72.945999999999998</v>
      </c>
      <c r="D18" s="143">
        <v>-73.254999999999995</v>
      </c>
      <c r="E18" s="143">
        <v>-75.398843909999997</v>
      </c>
      <c r="F18" s="143">
        <v>-81.564000000000007</v>
      </c>
      <c r="G18" s="143">
        <v>-93.73</v>
      </c>
      <c r="H18" s="143">
        <v>-76.032000000000011</v>
      </c>
      <c r="I18" s="143">
        <v>-78.41</v>
      </c>
      <c r="J18" s="143">
        <v>-80.694999999999993</v>
      </c>
      <c r="K18" s="979">
        <v>-103.693</v>
      </c>
      <c r="L18" s="1009">
        <v>-83.835000000000008</v>
      </c>
      <c r="M18" s="143">
        <v>-169.762</v>
      </c>
      <c r="N18" s="879">
        <v>-187.52800000000002</v>
      </c>
      <c r="Q18" s="120"/>
      <c r="R18" s="120"/>
    </row>
    <row r="19" spans="2:19" s="119" customFormat="1" ht="24" customHeight="1" x14ac:dyDescent="0.2">
      <c r="B19" s="141" t="s">
        <v>124</v>
      </c>
      <c r="C19" s="142">
        <v>-28.614999999999998</v>
      </c>
      <c r="D19" s="143">
        <v>-29.193999999999999</v>
      </c>
      <c r="E19" s="143">
        <v>-30.551236739999993</v>
      </c>
      <c r="F19" s="143">
        <v>-30.558</v>
      </c>
      <c r="G19" s="143">
        <v>-31.151</v>
      </c>
      <c r="H19" s="143">
        <v>-32.353000000000002</v>
      </c>
      <c r="I19" s="143">
        <v>-33.377000000000002</v>
      </c>
      <c r="J19" s="143">
        <v>-34.677</v>
      </c>
      <c r="K19" s="979">
        <v>-33.673000000000002</v>
      </c>
      <c r="L19" s="1009">
        <v>-34.947000000000003</v>
      </c>
      <c r="M19" s="143">
        <v>-63.504000000000005</v>
      </c>
      <c r="N19" s="879">
        <v>-68.62</v>
      </c>
      <c r="Q19" s="120"/>
    </row>
    <row r="20" spans="2:19" s="119" customFormat="1" ht="24" customHeight="1" x14ac:dyDescent="0.2">
      <c r="B20" s="144" t="s">
        <v>119</v>
      </c>
      <c r="C20" s="146">
        <f t="shared" ref="C20:I20" si="2">SUM(C17:C19)</f>
        <v>-202.429</v>
      </c>
      <c r="D20" s="145">
        <f t="shared" si="2"/>
        <v>-203.251</v>
      </c>
      <c r="E20" s="145">
        <f t="shared" si="2"/>
        <v>-207.60493589999999</v>
      </c>
      <c r="F20" s="145">
        <f t="shared" si="2"/>
        <v>-263.84100000000001</v>
      </c>
      <c r="G20" s="145">
        <f t="shared" si="2"/>
        <v>-223.97400000000002</v>
      </c>
      <c r="H20" s="145">
        <f t="shared" si="2"/>
        <v>-211.84800000000001</v>
      </c>
      <c r="I20" s="145">
        <f t="shared" si="2"/>
        <v>-211.23000000000002</v>
      </c>
      <c r="J20" s="145">
        <f t="shared" ref="J20" si="3">SUM(J17:J19)</f>
        <v>-255.77099999999999</v>
      </c>
      <c r="K20" s="978">
        <f t="shared" ref="K20:N20" si="4">SUM(K17:K19)</f>
        <v>-246.048</v>
      </c>
      <c r="L20" s="1011">
        <f t="shared" si="4"/>
        <v>-244.31600000000003</v>
      </c>
      <c r="M20" s="145">
        <f t="shared" si="4"/>
        <v>-435.822</v>
      </c>
      <c r="N20" s="881">
        <f t="shared" si="4"/>
        <v>-490.36400000000003</v>
      </c>
      <c r="P20" s="120"/>
      <c r="Q20" s="120"/>
    </row>
    <row r="21" spans="2:19" s="119" customFormat="1" ht="24" customHeight="1" x14ac:dyDescent="0.2">
      <c r="B21" s="141" t="s">
        <v>118</v>
      </c>
      <c r="C21" s="142">
        <v>-9.6033038800000003</v>
      </c>
      <c r="D21" s="143">
        <v>-4.2904095</v>
      </c>
      <c r="E21" s="143">
        <v>-1.837108</v>
      </c>
      <c r="F21" s="143">
        <v>-38.653692239999998</v>
      </c>
      <c r="G21" s="143">
        <v>-2.4</v>
      </c>
      <c r="H21" s="143">
        <v>-3.8</v>
      </c>
      <c r="I21" s="143">
        <v>-4.8</v>
      </c>
      <c r="J21" s="143">
        <v>-21.463821250000002</v>
      </c>
      <c r="K21" s="979">
        <v>0</v>
      </c>
      <c r="L21" s="1009">
        <v>0</v>
      </c>
      <c r="M21" s="143">
        <v>-6.1999999999999993</v>
      </c>
      <c r="N21" s="879">
        <v>0</v>
      </c>
      <c r="Q21" s="120"/>
    </row>
    <row r="22" spans="2:19" s="119" customFormat="1" ht="24" customHeight="1" x14ac:dyDescent="0.2">
      <c r="B22" s="147" t="s">
        <v>507</v>
      </c>
      <c r="C22" s="149">
        <f t="shared" ref="C22:I22" si="5">C16+C20</f>
        <v>389.44199999999989</v>
      </c>
      <c r="D22" s="148">
        <f t="shared" si="5"/>
        <v>522.77100000000007</v>
      </c>
      <c r="E22" s="148">
        <f t="shared" si="5"/>
        <v>501.10186615999999</v>
      </c>
      <c r="F22" s="148">
        <f t="shared" si="5"/>
        <v>466.22299999999984</v>
      </c>
      <c r="G22" s="148">
        <f t="shared" si="5"/>
        <v>425.48599999999999</v>
      </c>
      <c r="H22" s="148">
        <f t="shared" si="5"/>
        <v>475.12799999999999</v>
      </c>
      <c r="I22" s="148">
        <f t="shared" si="5"/>
        <v>437.20299999999997</v>
      </c>
      <c r="J22" s="148">
        <f t="shared" ref="J22" si="6">J16+J20</f>
        <v>466.73494122898796</v>
      </c>
      <c r="K22" s="1000">
        <f t="shared" ref="K22:N22" si="7">K16+K20</f>
        <v>414.40800000000002</v>
      </c>
      <c r="L22" s="1010">
        <f t="shared" si="7"/>
        <v>543.64400000000001</v>
      </c>
      <c r="M22" s="148">
        <f t="shared" si="7"/>
        <v>900.61400000000015</v>
      </c>
      <c r="N22" s="880">
        <f t="shared" si="7"/>
        <v>958.05200000000013</v>
      </c>
      <c r="Q22" s="120"/>
    </row>
    <row r="23" spans="2:19" s="119" customFormat="1" ht="24" customHeight="1" x14ac:dyDescent="0.2">
      <c r="B23" s="147" t="s">
        <v>350</v>
      </c>
      <c r="C23" s="149">
        <f t="shared" ref="C23:I23" si="8">C22-C15-C21-C12</f>
        <v>442.33730387999992</v>
      </c>
      <c r="D23" s="148">
        <f t="shared" si="8"/>
        <v>515.1115175000001</v>
      </c>
      <c r="E23" s="148">
        <f t="shared" si="8"/>
        <v>502.93897415999999</v>
      </c>
      <c r="F23" s="148">
        <f t="shared" si="8"/>
        <v>504.87669223999984</v>
      </c>
      <c r="G23" s="148">
        <f t="shared" si="8"/>
        <v>427.88599999999997</v>
      </c>
      <c r="H23" s="148">
        <f t="shared" si="8"/>
        <v>478.928</v>
      </c>
      <c r="I23" s="148">
        <f t="shared" si="8"/>
        <v>442.00299999999999</v>
      </c>
      <c r="J23" s="148">
        <f t="shared" ref="J23" si="9">J22-J15-J21-J12</f>
        <v>488.19876247898799</v>
      </c>
      <c r="K23" s="1000">
        <f t="shared" ref="K23:N23" si="10">K22-K15-K21-K12</f>
        <v>414.40800000000002</v>
      </c>
      <c r="L23" s="1010">
        <f t="shared" si="10"/>
        <v>543.64400000000001</v>
      </c>
      <c r="M23" s="148">
        <f t="shared" si="10"/>
        <v>906.81400000000019</v>
      </c>
      <c r="N23" s="880">
        <f t="shared" si="10"/>
        <v>958.05200000000013</v>
      </c>
      <c r="Q23" s="120"/>
    </row>
    <row r="24" spans="2:19" s="119" customFormat="1" ht="24" customHeight="1" x14ac:dyDescent="0.2">
      <c r="B24" s="182" t="s">
        <v>120</v>
      </c>
      <c r="C24" s="183">
        <v>-58.474000000000004</v>
      </c>
      <c r="D24" s="184">
        <v>-43.260999999999996</v>
      </c>
      <c r="E24" s="184">
        <v>-51.714784479999999</v>
      </c>
      <c r="F24" s="184">
        <v>-127.18400000000001</v>
      </c>
      <c r="G24" s="184">
        <v>-35.253</v>
      </c>
      <c r="H24" s="184">
        <v>-93.966999999999999</v>
      </c>
      <c r="I24" s="184">
        <v>-67.745000000000005</v>
      </c>
      <c r="J24" s="184">
        <v>-91.804999999999993</v>
      </c>
      <c r="K24" s="1001">
        <v>-43.756</v>
      </c>
      <c r="L24" s="1012">
        <v>-65.218000000000004</v>
      </c>
      <c r="M24" s="184">
        <v>-129.22</v>
      </c>
      <c r="N24" s="882">
        <v>-108.974</v>
      </c>
      <c r="Q24" s="120"/>
    </row>
    <row r="25" spans="2:19" s="119" customFormat="1" ht="24" customHeight="1" x14ac:dyDescent="0.2">
      <c r="B25" s="141" t="s">
        <v>118</v>
      </c>
      <c r="C25" s="142">
        <v>-12.14</v>
      </c>
      <c r="D25" s="143">
        <v>0</v>
      </c>
      <c r="E25" s="143">
        <v>0</v>
      </c>
      <c r="F25" s="143">
        <v>-86.33</v>
      </c>
      <c r="G25" s="143">
        <v>-0.44911295000000001</v>
      </c>
      <c r="H25" s="143">
        <v>-24.955732359999999</v>
      </c>
      <c r="I25" s="143">
        <v>-0.52778334999999998</v>
      </c>
      <c r="J25" s="143">
        <v>-37.546928030000004</v>
      </c>
      <c r="K25" s="979">
        <v>-8</v>
      </c>
      <c r="L25" s="1009">
        <v>0</v>
      </c>
      <c r="M25" s="143">
        <v>-25.404845309999999</v>
      </c>
      <c r="N25" s="879">
        <v>-8</v>
      </c>
      <c r="Q25" s="120"/>
    </row>
    <row r="26" spans="2:19" s="119" customFormat="1" ht="24" customHeight="1" x14ac:dyDescent="0.2">
      <c r="B26" s="141" t="s">
        <v>142</v>
      </c>
      <c r="C26" s="142">
        <v>-6.0240000000000009</v>
      </c>
      <c r="D26" s="143">
        <v>-27.35</v>
      </c>
      <c r="E26" s="143">
        <v>-16.767441019999996</v>
      </c>
      <c r="F26" s="143">
        <v>-112.84299999999999</v>
      </c>
      <c r="G26" s="143">
        <v>-7.7969999999999997</v>
      </c>
      <c r="H26" s="143">
        <v>-10.314</v>
      </c>
      <c r="I26" s="143">
        <v>-18.817999999999998</v>
      </c>
      <c r="J26" s="143">
        <v>-100.608</v>
      </c>
      <c r="K26" s="979">
        <v>2.4889999999999999</v>
      </c>
      <c r="L26" s="1009">
        <v>-26.521000000000001</v>
      </c>
      <c r="M26" s="143">
        <v>-18.111000000000001</v>
      </c>
      <c r="N26" s="879">
        <v>-24.031999999999996</v>
      </c>
      <c r="Q26" s="120"/>
    </row>
    <row r="27" spans="2:19" s="119" customFormat="1" ht="24" customHeight="1" x14ac:dyDescent="0.2">
      <c r="B27" s="185" t="s">
        <v>118</v>
      </c>
      <c r="C27" s="186">
        <v>0</v>
      </c>
      <c r="D27" s="187">
        <v>0</v>
      </c>
      <c r="E27" s="187">
        <v>0</v>
      </c>
      <c r="F27" s="187">
        <v>-88.600999999999999</v>
      </c>
      <c r="G27" s="187">
        <v>0.54234499999999997</v>
      </c>
      <c r="H27" s="187">
        <v>2.4137309999999998</v>
      </c>
      <c r="I27" s="187">
        <v>-26.804267000000003</v>
      </c>
      <c r="J27" s="187">
        <v>-57.492507784198303</v>
      </c>
      <c r="K27" s="1002">
        <v>0</v>
      </c>
      <c r="L27" s="1013">
        <v>-6</v>
      </c>
      <c r="M27" s="187">
        <v>2.9560759999999999</v>
      </c>
      <c r="N27" s="883">
        <v>-6</v>
      </c>
      <c r="Q27" s="120"/>
    </row>
    <row r="28" spans="2:19" s="119" customFormat="1" ht="24" customHeight="1" thickBot="1" x14ac:dyDescent="0.25">
      <c r="B28" s="172" t="s">
        <v>340</v>
      </c>
      <c r="C28" s="174">
        <f t="shared" ref="C28:H28" si="11">C22+C24+C26</f>
        <v>324.9439999999999</v>
      </c>
      <c r="D28" s="173">
        <f t="shared" si="11"/>
        <v>452.16000000000008</v>
      </c>
      <c r="E28" s="173">
        <f t="shared" si="11"/>
        <v>432.61964066000002</v>
      </c>
      <c r="F28" s="173">
        <f t="shared" si="11"/>
        <v>226.19599999999983</v>
      </c>
      <c r="G28" s="173">
        <f t="shared" si="11"/>
        <v>382.43599999999998</v>
      </c>
      <c r="H28" s="173">
        <f t="shared" si="11"/>
        <v>370.84699999999998</v>
      </c>
      <c r="I28" s="173">
        <f>I22+I24+I26</f>
        <v>350.64</v>
      </c>
      <c r="J28" s="173">
        <f t="shared" ref="J28" si="12">J22+J24+J26</f>
        <v>274.32194122898795</v>
      </c>
      <c r="K28" s="1003">
        <f t="shared" ref="K28:N28" si="13">K22+K24+K26</f>
        <v>373.14100000000002</v>
      </c>
      <c r="L28" s="1014">
        <f t="shared" si="13"/>
        <v>451.90499999999997</v>
      </c>
      <c r="M28" s="173">
        <f t="shared" si="13"/>
        <v>753.28300000000013</v>
      </c>
      <c r="N28" s="884">
        <f t="shared" si="13"/>
        <v>825.04600000000005</v>
      </c>
      <c r="Q28" s="820"/>
      <c r="S28" s="120"/>
    </row>
    <row r="29" spans="2:19" s="119" customFormat="1" ht="24" customHeight="1" thickBot="1" x14ac:dyDescent="0.25">
      <c r="B29" s="188" t="s">
        <v>417</v>
      </c>
      <c r="C29" s="190">
        <f t="shared" ref="C29:G29" si="14">C23+C24+C26-C25-C27</f>
        <v>389.97930387999992</v>
      </c>
      <c r="D29" s="189">
        <f t="shared" si="14"/>
        <v>444.50051750000011</v>
      </c>
      <c r="E29" s="189">
        <f t="shared" si="14"/>
        <v>434.45674866000002</v>
      </c>
      <c r="F29" s="189">
        <f t="shared" si="14"/>
        <v>439.78069223999984</v>
      </c>
      <c r="G29" s="189">
        <f t="shared" si="14"/>
        <v>384.74276794999997</v>
      </c>
      <c r="H29" s="189">
        <f>H23+H24+H26-H25-H27</f>
        <v>397.18900136000002</v>
      </c>
      <c r="I29" s="189">
        <f>I23+I24+I26-I25-I27</f>
        <v>382.77205034999997</v>
      </c>
      <c r="J29" s="189">
        <f t="shared" ref="J29" si="15">J23+J24+J26-J25-J27</f>
        <v>390.8251982931863</v>
      </c>
      <c r="K29" s="1004">
        <f t="shared" ref="K29:N29" si="16">K23+K24+K26-K25-K27</f>
        <v>381.14100000000002</v>
      </c>
      <c r="L29" s="1015">
        <f t="shared" si="16"/>
        <v>457.90499999999997</v>
      </c>
      <c r="M29" s="189">
        <f t="shared" si="16"/>
        <v>781.93176931000016</v>
      </c>
      <c r="N29" s="885">
        <f t="shared" si="16"/>
        <v>839.04600000000005</v>
      </c>
      <c r="Q29" s="120"/>
    </row>
    <row r="30" spans="2:19" s="119" customFormat="1" ht="24" customHeight="1" thickBot="1" x14ac:dyDescent="0.25">
      <c r="B30" s="191" t="s">
        <v>121</v>
      </c>
      <c r="C30" s="192">
        <v>-91.998000000000005</v>
      </c>
      <c r="D30" s="193">
        <v>-120.983</v>
      </c>
      <c r="E30" s="193">
        <v>-114.39580782999995</v>
      </c>
      <c r="F30" s="193">
        <v>-42.829000000000001</v>
      </c>
      <c r="G30" s="193">
        <v>-100.398</v>
      </c>
      <c r="H30" s="193">
        <v>-96.962000000000003</v>
      </c>
      <c r="I30" s="193">
        <v>-91.867999999999995</v>
      </c>
      <c r="J30" s="193">
        <v>-26.966000000000001</v>
      </c>
      <c r="K30" s="1005">
        <v>-95.150999999999996</v>
      </c>
      <c r="L30" s="1016">
        <v>-115.236</v>
      </c>
      <c r="M30" s="193">
        <v>-197.36</v>
      </c>
      <c r="N30" s="886">
        <v>-210.387</v>
      </c>
      <c r="Q30" s="120"/>
    </row>
    <row r="31" spans="2:19" s="119" customFormat="1" ht="24" customHeight="1" thickBot="1" x14ac:dyDescent="0.25">
      <c r="B31" s="191" t="s">
        <v>623</v>
      </c>
      <c r="C31" s="192">
        <v>-110.8582381252</v>
      </c>
      <c r="D31" s="193">
        <v>-118.76175007500001</v>
      </c>
      <c r="E31" s="193">
        <v>-114.92856914999996</v>
      </c>
      <c r="F31" s="193">
        <v>-104.7685607496</v>
      </c>
      <c r="G31" s="193">
        <v>-101.06696270549999</v>
      </c>
      <c r="H31" s="193">
        <v>-104.6011803944</v>
      </c>
      <c r="I31" s="193">
        <v>-101.18629460149999</v>
      </c>
      <c r="J31" s="193">
        <v>-60.751944548617502</v>
      </c>
      <c r="K31" s="1005">
        <v>-97.470999999999989</v>
      </c>
      <c r="L31" s="1016">
        <v>-116.976</v>
      </c>
      <c r="M31" s="193">
        <v>-205.66814309989999</v>
      </c>
      <c r="N31" s="886">
        <v>-214.447</v>
      </c>
      <c r="P31" s="120"/>
      <c r="Q31" s="120"/>
      <c r="R31" s="120"/>
      <c r="S31" s="121"/>
    </row>
    <row r="32" spans="2:19" s="119" customFormat="1" ht="24" customHeight="1" thickBot="1" x14ac:dyDescent="0.25">
      <c r="B32" s="194" t="s">
        <v>131</v>
      </c>
      <c r="C32" s="192">
        <v>-0.186</v>
      </c>
      <c r="D32" s="193">
        <v>1.17</v>
      </c>
      <c r="E32" s="193">
        <v>-0.1746048999999999</v>
      </c>
      <c r="F32" s="193">
        <v>-0.97</v>
      </c>
      <c r="G32" s="193">
        <v>-1.6850000000000001</v>
      </c>
      <c r="H32" s="193">
        <v>-1.621</v>
      </c>
      <c r="I32" s="193">
        <v>-1.925</v>
      </c>
      <c r="J32" s="193">
        <v>-2.831</v>
      </c>
      <c r="K32" s="1005">
        <v>-3.419</v>
      </c>
      <c r="L32" s="1016">
        <v>0.81399999999999995</v>
      </c>
      <c r="M32" s="193">
        <v>-3.306</v>
      </c>
      <c r="N32" s="886">
        <v>-2.605</v>
      </c>
      <c r="Q32" s="120"/>
    </row>
    <row r="33" spans="2:20" s="119" customFormat="1" ht="24" customHeight="1" thickBot="1" x14ac:dyDescent="0.25">
      <c r="B33" s="195" t="s">
        <v>418</v>
      </c>
      <c r="C33" s="190">
        <f t="shared" ref="C33:H33" si="17">C28+C31-C25-C21-C13-C32-C12-C27-C14</f>
        <v>307.09306575479991</v>
      </c>
      <c r="D33" s="189">
        <f t="shared" si="17"/>
        <v>305.34376742500007</v>
      </c>
      <c r="E33" s="189">
        <f t="shared" si="17"/>
        <v>296.39807457000012</v>
      </c>
      <c r="F33" s="189">
        <f>F28+F31-F25-F21-F13-F32-F12-F27-F14</f>
        <v>286.78713149039982</v>
      </c>
      <c r="G33" s="189">
        <f t="shared" si="17"/>
        <v>276.57580524450003</v>
      </c>
      <c r="H33" s="189">
        <f t="shared" si="17"/>
        <v>246.33082096560003</v>
      </c>
      <c r="I33" s="189">
        <f t="shared" ref="I33:N33" si="18">I28+I31-I25-I21-I13-I32-I12-I27-I14</f>
        <v>270.17275574850004</v>
      </c>
      <c r="J33" s="189">
        <f t="shared" si="18"/>
        <v>293.74430651558077</v>
      </c>
      <c r="K33" s="1004">
        <f t="shared" si="18"/>
        <v>318.27699699999999</v>
      </c>
      <c r="L33" s="1015">
        <f t="shared" si="18"/>
        <v>312.01007499999997</v>
      </c>
      <c r="M33" s="189">
        <f t="shared" si="18"/>
        <v>522.90662621010017</v>
      </c>
      <c r="N33" s="885">
        <f t="shared" si="18"/>
        <v>630.28707200000008</v>
      </c>
      <c r="Q33" s="120"/>
    </row>
    <row r="34" spans="2:20" s="119" customFormat="1" ht="24" customHeight="1" thickBot="1" x14ac:dyDescent="0.25">
      <c r="B34" s="195" t="s">
        <v>341</v>
      </c>
      <c r="C34" s="192">
        <v>-27.786000000000001</v>
      </c>
      <c r="D34" s="193">
        <v>19.225000000000023</v>
      </c>
      <c r="E34" s="193">
        <v>23.304709839999987</v>
      </c>
      <c r="F34" s="193">
        <v>49.19500000000005</v>
      </c>
      <c r="G34" s="193">
        <v>8.7850000000000819</v>
      </c>
      <c r="H34" s="193">
        <v>47.8780000000001</v>
      </c>
      <c r="I34" s="193">
        <v>13.338000000000022</v>
      </c>
      <c r="J34" s="193">
        <v>39.159947228987903</v>
      </c>
      <c r="K34" s="1005">
        <v>-31.187996999999939</v>
      </c>
      <c r="L34" s="1016">
        <v>28.104925000000151</v>
      </c>
      <c r="M34" s="193">
        <v>56.663000000000181</v>
      </c>
      <c r="N34" s="886">
        <v>-3.0830719999997882</v>
      </c>
      <c r="Q34" s="120"/>
    </row>
    <row r="35" spans="2:20" s="119" customFormat="1" ht="24" customHeight="1" thickBot="1" x14ac:dyDescent="0.25">
      <c r="B35" s="195" t="s">
        <v>382</v>
      </c>
      <c r="C35" s="190">
        <f t="shared" ref="C35:H35" si="19">C34+C33</f>
        <v>279.30706575479991</v>
      </c>
      <c r="D35" s="189">
        <f t="shared" si="19"/>
        <v>324.56876742500009</v>
      </c>
      <c r="E35" s="189">
        <f t="shared" si="19"/>
        <v>319.70278441000011</v>
      </c>
      <c r="F35" s="189">
        <f t="shared" si="19"/>
        <v>335.98213149039987</v>
      </c>
      <c r="G35" s="189">
        <f t="shared" si="19"/>
        <v>285.36080524450011</v>
      </c>
      <c r="H35" s="189">
        <f t="shared" si="19"/>
        <v>294.20882096560013</v>
      </c>
      <c r="I35" s="189">
        <f t="shared" ref="I35:N35" si="20">I34+I33</f>
        <v>283.51075574850006</v>
      </c>
      <c r="J35" s="189">
        <f t="shared" si="20"/>
        <v>332.90425374456868</v>
      </c>
      <c r="K35" s="1004">
        <f t="shared" si="20"/>
        <v>287.08900000000006</v>
      </c>
      <c r="L35" s="1015">
        <f t="shared" si="20"/>
        <v>340.11500000000012</v>
      </c>
      <c r="M35" s="189">
        <f t="shared" si="20"/>
        <v>579.5696262101003</v>
      </c>
      <c r="N35" s="885">
        <f t="shared" si="20"/>
        <v>627.20400000000029</v>
      </c>
      <c r="Q35" s="120"/>
    </row>
    <row r="36" spans="2:20" s="119" customFormat="1" ht="24" customHeight="1" x14ac:dyDescent="0.2">
      <c r="B36" s="166" t="s">
        <v>159</v>
      </c>
      <c r="C36" s="176">
        <f t="shared" ref="C36:I36" si="21">C28+C30-C32</f>
        <v>233.13199999999992</v>
      </c>
      <c r="D36" s="175">
        <f t="shared" si="21"/>
        <v>330.00700000000006</v>
      </c>
      <c r="E36" s="175">
        <f t="shared" si="21"/>
        <v>318.39843773000007</v>
      </c>
      <c r="F36" s="175">
        <f t="shared" si="21"/>
        <v>184.33699999999982</v>
      </c>
      <c r="G36" s="175">
        <f t="shared" si="21"/>
        <v>283.72300000000001</v>
      </c>
      <c r="H36" s="175">
        <f t="shared" si="21"/>
        <v>275.50599999999997</v>
      </c>
      <c r="I36" s="175">
        <f t="shared" si="21"/>
        <v>260.697</v>
      </c>
      <c r="J36" s="175">
        <f>J28+J30-J32</f>
        <v>250.18694122898793</v>
      </c>
      <c r="K36" s="1007">
        <f>K28+K30-K32</f>
        <v>281.40899999999999</v>
      </c>
      <c r="L36" s="1017">
        <f>L28+L30-L32</f>
        <v>335.85499999999996</v>
      </c>
      <c r="M36" s="175">
        <f>M28+M30-M32</f>
        <v>559.22900000000016</v>
      </c>
      <c r="N36" s="887">
        <f>N28+N30-N32</f>
        <v>617.26400000000012</v>
      </c>
      <c r="Q36" s="120"/>
    </row>
    <row r="37" spans="2:20" s="123" customFormat="1" ht="17.25" customHeight="1" x14ac:dyDescent="0.2">
      <c r="B37" s="122"/>
    </row>
    <row r="38" spans="2:20" s="110" customFormat="1" ht="24" customHeight="1" x14ac:dyDescent="0.2">
      <c r="B38" s="139" t="s">
        <v>105</v>
      </c>
      <c r="C38" s="177">
        <v>45382</v>
      </c>
      <c r="D38" s="177">
        <v>45473</v>
      </c>
      <c r="E38" s="177">
        <v>45565</v>
      </c>
      <c r="F38" s="177">
        <v>45657</v>
      </c>
      <c r="G38" s="177">
        <v>45747</v>
      </c>
      <c r="H38" s="177">
        <v>45838</v>
      </c>
      <c r="I38" s="177">
        <v>45930</v>
      </c>
      <c r="J38" s="177">
        <v>46022</v>
      </c>
      <c r="K38" s="181">
        <v>46112</v>
      </c>
      <c r="L38" s="1008">
        <v>46203</v>
      </c>
      <c r="M38" s="177">
        <v>45838</v>
      </c>
      <c r="N38" s="745">
        <v>46203</v>
      </c>
    </row>
    <row r="39" spans="2:20" s="123" customFormat="1" ht="24" customHeight="1" x14ac:dyDescent="0.2">
      <c r="B39" s="144" t="s">
        <v>432</v>
      </c>
      <c r="C39" s="146">
        <v>77250.433999999994</v>
      </c>
      <c r="D39" s="145">
        <v>76625.849000000002</v>
      </c>
      <c r="E39" s="145">
        <v>78790.432941040068</v>
      </c>
      <c r="F39" s="145">
        <v>79124.71025229001</v>
      </c>
      <c r="G39" s="145">
        <v>78246.243000000002</v>
      </c>
      <c r="H39" s="145">
        <v>81249.259999999995</v>
      </c>
      <c r="I39" s="145">
        <v>83059.418999999994</v>
      </c>
      <c r="J39" s="145">
        <v>90091.470950999996</v>
      </c>
      <c r="K39" s="978">
        <v>89868.657999999996</v>
      </c>
      <c r="L39" s="1011">
        <v>93398.644</v>
      </c>
      <c r="M39" s="145">
        <f t="shared" ref="M39:M44" si="22">H39</f>
        <v>81249.259999999995</v>
      </c>
      <c r="N39" s="881">
        <f t="shared" ref="N39:N44" si="23">L39</f>
        <v>93398.644</v>
      </c>
      <c r="Q39" s="124"/>
    </row>
    <row r="40" spans="2:20" s="123" customFormat="1" ht="24" customHeight="1" x14ac:dyDescent="0.2">
      <c r="B40" s="144" t="s">
        <v>228</v>
      </c>
      <c r="C40" s="146">
        <v>37198.035780430007</v>
      </c>
      <c r="D40" s="145">
        <v>38398.539018700001</v>
      </c>
      <c r="E40" s="145">
        <v>39036.243861620002</v>
      </c>
      <c r="F40" s="145">
        <v>41425.406067190117</v>
      </c>
      <c r="G40" s="145">
        <v>42105.891412029894</v>
      </c>
      <c r="H40" s="145">
        <v>42541.689731929902</v>
      </c>
      <c r="I40" s="145">
        <v>43359.265431019958</v>
      </c>
      <c r="J40" s="145">
        <v>44493.336650659934</v>
      </c>
      <c r="K40" s="978">
        <v>45092.897302010002</v>
      </c>
      <c r="L40" s="1011">
        <v>46309.860494090055</v>
      </c>
      <c r="M40" s="145">
        <f t="shared" si="22"/>
        <v>42541.689731929902</v>
      </c>
      <c r="N40" s="881">
        <f t="shared" si="23"/>
        <v>46309.860494090055</v>
      </c>
      <c r="Q40" s="124"/>
      <c r="S40" s="124"/>
    </row>
    <row r="41" spans="2:20" s="123" customFormat="1" ht="24" customHeight="1" x14ac:dyDescent="0.2">
      <c r="B41" s="141" t="s">
        <v>624</v>
      </c>
      <c r="C41" s="142">
        <v>1302.6420000000001</v>
      </c>
      <c r="D41" s="143">
        <v>1263.5071478100012</v>
      </c>
      <c r="E41" s="143">
        <v>1261.8381047699991</v>
      </c>
      <c r="F41" s="143">
        <v>1067.9918054000004</v>
      </c>
      <c r="G41" s="143">
        <v>1097.1468719499992</v>
      </c>
      <c r="H41" s="143">
        <v>1086.2180770500001</v>
      </c>
      <c r="I41" s="143">
        <v>1088.37822598</v>
      </c>
      <c r="J41" s="143">
        <v>898.86717680999982</v>
      </c>
      <c r="K41" s="979">
        <v>929.66466536000007</v>
      </c>
      <c r="L41" s="1009">
        <v>1011.2103628300003</v>
      </c>
      <c r="M41" s="143">
        <f t="shared" si="22"/>
        <v>1086.2180770500001</v>
      </c>
      <c r="N41" s="879">
        <f t="shared" si="23"/>
        <v>1011.2103628300003</v>
      </c>
      <c r="Q41" s="124"/>
    </row>
    <row r="42" spans="2:20" s="123" customFormat="1" ht="24" customHeight="1" x14ac:dyDescent="0.2">
      <c r="B42" s="144" t="s">
        <v>625</v>
      </c>
      <c r="C42" s="146">
        <v>36414.089999999997</v>
      </c>
      <c r="D42" s="145">
        <v>37655.427000000003</v>
      </c>
      <c r="E42" s="145">
        <v>38261.902728959998</v>
      </c>
      <c r="F42" s="145">
        <v>39814.917252289997</v>
      </c>
      <c r="G42" s="145">
        <v>40827.213000000003</v>
      </c>
      <c r="H42" s="145">
        <v>41804.887000000002</v>
      </c>
      <c r="I42" s="145">
        <v>42568.436293589992</v>
      </c>
      <c r="J42" s="145">
        <v>42954.633950999996</v>
      </c>
      <c r="K42" s="978">
        <v>44185.247000000003</v>
      </c>
      <c r="L42" s="1011">
        <v>44563.046000000002</v>
      </c>
      <c r="M42" s="145">
        <f t="shared" si="22"/>
        <v>41804.887000000002</v>
      </c>
      <c r="N42" s="881">
        <f t="shared" si="23"/>
        <v>44563.046000000002</v>
      </c>
      <c r="Q42" s="750"/>
      <c r="R42" s="124"/>
    </row>
    <row r="43" spans="2:20" s="123" customFormat="1" ht="24" customHeight="1" x14ac:dyDescent="0.2">
      <c r="B43" s="144" t="s">
        <v>160</v>
      </c>
      <c r="C43" s="146">
        <v>6589.1220000000003</v>
      </c>
      <c r="D43" s="145">
        <v>6782.1379999999999</v>
      </c>
      <c r="E43" s="145">
        <v>7092.0439822899998</v>
      </c>
      <c r="F43" s="145">
        <v>7200.2520000000004</v>
      </c>
      <c r="G43" s="145">
        <v>7500.9569999999985</v>
      </c>
      <c r="H43" s="145">
        <v>7358.0069999999996</v>
      </c>
      <c r="I43" s="145">
        <v>7600.4216562799984</v>
      </c>
      <c r="J43" s="145">
        <v>7277.5800000000008</v>
      </c>
      <c r="K43" s="978">
        <v>7507.326</v>
      </c>
      <c r="L43" s="1011">
        <v>7756.9170000000004</v>
      </c>
      <c r="M43" s="145">
        <f t="shared" si="22"/>
        <v>7358.0069999999996</v>
      </c>
      <c r="N43" s="881">
        <f t="shared" si="23"/>
        <v>7756.9170000000004</v>
      </c>
      <c r="Q43" s="124"/>
    </row>
    <row r="44" spans="2:20" s="123" customFormat="1" ht="24" customHeight="1" x14ac:dyDescent="0.2">
      <c r="B44" s="169" t="s">
        <v>161</v>
      </c>
      <c r="C44" s="171">
        <v>7590.5529999999999</v>
      </c>
      <c r="D44" s="170">
        <v>7804.45</v>
      </c>
      <c r="E44" s="170">
        <v>8150.2597738300001</v>
      </c>
      <c r="F44" s="170">
        <v>8272.7919999999976</v>
      </c>
      <c r="G44" s="170">
        <v>8587.5669999999991</v>
      </c>
      <c r="H44" s="170">
        <v>8864.6910000000007</v>
      </c>
      <c r="I44" s="170">
        <v>9126.5750175499979</v>
      </c>
      <c r="J44" s="170">
        <v>9378.7450000000008</v>
      </c>
      <c r="K44" s="984">
        <v>9646.5429999999978</v>
      </c>
      <c r="L44" s="1018">
        <v>9790.1730000000007</v>
      </c>
      <c r="M44" s="170">
        <f t="shared" si="22"/>
        <v>8864.6910000000007</v>
      </c>
      <c r="N44" s="888">
        <f t="shared" si="23"/>
        <v>9790.1730000000007</v>
      </c>
      <c r="Q44" s="124"/>
      <c r="S44" s="125"/>
      <c r="T44" s="126"/>
    </row>
    <row r="45" spans="2:20" s="123" customFormat="1" ht="17.25" customHeight="1" x14ac:dyDescent="0.2">
      <c r="B45" s="122"/>
      <c r="R45" s="127"/>
    </row>
    <row r="46" spans="2:20" ht="24" customHeight="1" x14ac:dyDescent="0.2">
      <c r="B46" s="139" t="s">
        <v>122</v>
      </c>
      <c r="C46" s="177" t="s">
        <v>256</v>
      </c>
      <c r="D46" s="177" t="s">
        <v>336</v>
      </c>
      <c r="E46" s="177" t="s">
        <v>371</v>
      </c>
      <c r="F46" s="177" t="s">
        <v>388</v>
      </c>
      <c r="G46" s="177" t="s">
        <v>413</v>
      </c>
      <c r="H46" s="140" t="s">
        <v>420</v>
      </c>
      <c r="I46" s="140" t="s">
        <v>460</v>
      </c>
      <c r="J46" s="140" t="s">
        <v>512</v>
      </c>
      <c r="K46" s="179" t="s">
        <v>645</v>
      </c>
      <c r="L46" s="140" t="s">
        <v>665</v>
      </c>
      <c r="M46" s="1006" t="s">
        <v>421</v>
      </c>
      <c r="N46" s="878" t="s">
        <v>667</v>
      </c>
    </row>
    <row r="47" spans="2:20" ht="24" customHeight="1" x14ac:dyDescent="0.2">
      <c r="B47" s="144" t="s">
        <v>342</v>
      </c>
      <c r="C47" s="165">
        <f>(C33-(600*8.75%/4))/1245.893686</f>
        <v>0.23594955898572548</v>
      </c>
      <c r="D47" s="164">
        <f>(D33-(600*8.75%/4))/1245.212023</f>
        <v>0.23467390454597309</v>
      </c>
      <c r="E47" s="164">
        <f>(E33-(600*8.75%/4))/1246.622609</f>
        <v>0.22723242184515852</v>
      </c>
      <c r="F47" s="164">
        <f>(F33-(600*8.75%/4))/1246.037681</f>
        <v>0.21962588745371964</v>
      </c>
      <c r="G47" s="164">
        <f>(G33-(600*8.75%/4))/1247.448117</f>
        <v>0.21119179359384938</v>
      </c>
      <c r="H47" s="164">
        <f>(H33-(600*8.75%/4))/1247.575412</f>
        <v>0.18692723399521444</v>
      </c>
      <c r="I47" s="164">
        <f>(I33-(79.5/4))/1247.988213</f>
        <v>0.20056099339818045</v>
      </c>
      <c r="J47" s="164">
        <f>(J33-(81.6/4))/1230.028374</f>
        <v>0.22222601713379728</v>
      </c>
      <c r="K47" s="997">
        <f>(K33-(71.924833/4))/1229.472312</f>
        <v>0.24424770352209441</v>
      </c>
      <c r="L47" s="1019">
        <f>(L33-(71.924833/4))/1232.003102</f>
        <v>0.23865919353017992</v>
      </c>
      <c r="M47" s="164">
        <f>(M33-(600*8.75%/2))/1247.575412</f>
        <v>0.39809747886414759</v>
      </c>
      <c r="N47" s="889">
        <f>(N33-(71.924833/2))/1232.003102</f>
        <v>0.48240516159025071</v>
      </c>
    </row>
    <row r="48" spans="2:20" ht="24" customHeight="1" x14ac:dyDescent="0.2">
      <c r="B48" s="144" t="s">
        <v>343</v>
      </c>
      <c r="C48" s="164">
        <f>(C35-(600*8.75%/4))/1245.893686</f>
        <v>0.21364749556552445</v>
      </c>
      <c r="D48" s="164">
        <f>(D35-(600*8.75%/4))/1245.212023</f>
        <v>0.25011304233528114</v>
      </c>
      <c r="E48" s="164">
        <f>(E35-(600*8.75%/4))/1246.622609</f>
        <v>0.24592670002666389</v>
      </c>
      <c r="F48" s="164">
        <f>(F35-(600*8.75%/4))/1246.037681</f>
        <v>0.25910703698085025</v>
      </c>
      <c r="G48" s="164">
        <f>(G35-(600*8.75%/4))/1247.448117</f>
        <v>0.21823417065168421</v>
      </c>
      <c r="H48" s="164">
        <f>(H35-(600*8.75%/4))/1247.575412</f>
        <v>0.22530407241273856</v>
      </c>
      <c r="I48" s="164">
        <f>(I35-(79.5/4))/1247.988213</f>
        <v>0.21124859433948839</v>
      </c>
      <c r="J48" s="164">
        <f>(J35-(81.6/4))/1230.028374</f>
        <v>0.25406263818802666</v>
      </c>
      <c r="K48" s="997">
        <f>(K35-(71.924833/4))/1229.472312</f>
        <v>0.21888072559538863</v>
      </c>
      <c r="L48" s="1019">
        <f>(L35-(71.924833/4))/1232.003102</f>
        <v>0.26147157521523851</v>
      </c>
      <c r="M48" s="164">
        <f>(M35-(600*8.75%/2))/1247.575412</f>
        <v>0.44351597577822438</v>
      </c>
      <c r="N48" s="889">
        <f>(N35-(71.924833/2))/1232.003102</f>
        <v>0.47990267438466266</v>
      </c>
    </row>
    <row r="49" spans="2:17" ht="24" customHeight="1" x14ac:dyDescent="0.2">
      <c r="B49" s="218" t="s">
        <v>344</v>
      </c>
      <c r="C49" s="204">
        <f>(C36-(600*8.75%/4))/1245.893686</f>
        <v>0.17658569304283314</v>
      </c>
      <c r="D49" s="204">
        <f>(D36-(600*8.75%/4))/1245.212023</f>
        <v>0.25448035687654136</v>
      </c>
      <c r="E49" s="204">
        <f>(E36-(600*8.75%/4))/1246.622609</f>
        <v>0.24488039565950154</v>
      </c>
      <c r="F49" s="204">
        <f>(F36-(600*8.75%/4))/1246.037681</f>
        <v>0.1374051544433188</v>
      </c>
      <c r="G49" s="204">
        <f>(G36-(600*8.75%/4))/1247.448117</f>
        <v>0.21692124611223412</v>
      </c>
      <c r="H49" s="204">
        <f>(H36-(600*8.75%/4))/1247.575412</f>
        <v>0.21031273739146117</v>
      </c>
      <c r="I49" s="204">
        <f>(I36-(79.5/4))/1247.988213</f>
        <v>0.19296816868253547</v>
      </c>
      <c r="J49" s="204">
        <f>(J36-(81.6/4))/1230.028374</f>
        <v>0.18681434191776453</v>
      </c>
      <c r="K49" s="897">
        <f>(K36-(71.924833/4))/1229.472312</f>
        <v>0.21426085742547407</v>
      </c>
      <c r="L49" s="1019">
        <f>(L36-(71.924833/4))/1232.003102</f>
        <v>0.25801379171365102</v>
      </c>
      <c r="M49" s="204">
        <f>(M36-(600*8.75%/2))/1247.575412</f>
        <v>0.42721185018032415</v>
      </c>
      <c r="N49" s="889">
        <f>(N36-(71.924833/2))/1232.003102</f>
        <v>0.47183451288095879</v>
      </c>
    </row>
    <row r="50" spans="2:17" ht="24" customHeight="1" x14ac:dyDescent="0.2">
      <c r="B50" s="144" t="s">
        <v>345</v>
      </c>
      <c r="C50" s="151">
        <f>(C35-(600*8.75%/4))*4/AVERAGE(6589, 6351)</f>
        <v>0.16456387372785156</v>
      </c>
      <c r="D50" s="150">
        <f t="shared" ref="D50:G50" si="24">(D35-(600*8.75%/4))*4/AVERAGE(C43:D43)</f>
        <v>0.18633622705713604</v>
      </c>
      <c r="E50" s="150">
        <f t="shared" si="24"/>
        <v>0.17677599143579806</v>
      </c>
      <c r="F50" s="150">
        <f t="shared" si="24"/>
        <v>0.18071673404494926</v>
      </c>
      <c r="G50" s="150">
        <f t="shared" si="24"/>
        <v>0.14814335623389893</v>
      </c>
      <c r="H50" s="150">
        <f>(H35-(600*8.75%/4))*4/AVERAGE(G43:H43)</f>
        <v>0.15133427658380499</v>
      </c>
      <c r="I50" s="150">
        <f>(I35-(79.5/4))*4/AVERAGE(H43:I43)</f>
        <v>0.14099649732276812</v>
      </c>
      <c r="J50" s="150">
        <f>(J35-(81.6/4))*4/AVERAGE(I43:J43)</f>
        <v>0.16803560637468312</v>
      </c>
      <c r="K50" s="662">
        <f>(K35-(71.924833/4))*4/AVERAGE(J43:K43)</f>
        <v>0.1456121759583727</v>
      </c>
      <c r="L50" s="1020">
        <f>(L35-(71.924833/4))*4/AVERAGE(K43:L43)</f>
        <v>0.16883053643734583</v>
      </c>
      <c r="M50" s="150">
        <f>(M35-(600*8.75%/2))*2/AVERAGE(F43,M43)</f>
        <v>0.15202906507161337</v>
      </c>
      <c r="N50" s="890">
        <f>(N35-(71.924833/2))*2/AVERAGE(J43,N43)</f>
        <v>0.15730265761468448</v>
      </c>
      <c r="Q50" s="128"/>
    </row>
    <row r="51" spans="2:17" ht="24" customHeight="1" x14ac:dyDescent="0.2">
      <c r="B51" s="218" t="s">
        <v>390</v>
      </c>
      <c r="C51" s="741">
        <f>(C36*4-52.5)/AVERAGE(C43,6351)</f>
        <v>0.1360154100556393</v>
      </c>
      <c r="D51" s="741">
        <f t="shared" ref="D51:E51" si="25">(D36*4-52.5)/AVERAGE(D43,C43)</f>
        <v>0.18958991149674753</v>
      </c>
      <c r="E51" s="741">
        <f t="shared" si="25"/>
        <v>0.17602389135138805</v>
      </c>
      <c r="F51" s="741">
        <f>(F36*4-52.5)/AVERAGE(F43,E43)</f>
        <v>9.583456721699779E-2</v>
      </c>
      <c r="G51" s="741">
        <f>(G36*4-52.5)/AVERAGE(G43,F43)</f>
        <v>0.14725210695256427</v>
      </c>
      <c r="H51" s="741">
        <f>(H36*4-52.5)/AVERAGE(H43,G43)</f>
        <v>0.14126476112331923</v>
      </c>
      <c r="I51" s="741">
        <f>(I36*4-79.5)/AVERAGE(I43,H43)</f>
        <v>0.12879534637424403</v>
      </c>
      <c r="J51" s="741">
        <f>(J36*4-81.6)/AVERAGE(J43,I43)</f>
        <v>0.12355795975166864</v>
      </c>
      <c r="K51" s="898">
        <f>(K36*4-71.924833)/AVERAGE(K43,J43)</f>
        <v>0.14253877123060504</v>
      </c>
      <c r="L51" s="1020">
        <f>(L36*4-71.924833)/AVERAGE(L43,K43)</f>
        <v>0.16659786757849698</v>
      </c>
      <c r="M51" s="741">
        <f>(M36*2-52.5)/AVERAGE(M43,F43)</f>
        <v>0.14644031267749807</v>
      </c>
      <c r="N51" s="890">
        <f>(N36*2-71.924833)/AVERAGE(N43,J43)</f>
        <v>0.15465807296379788</v>
      </c>
      <c r="Q51" s="128"/>
    </row>
    <row r="52" spans="2:17" ht="24" customHeight="1" x14ac:dyDescent="0.2">
      <c r="B52" s="144" t="s">
        <v>346</v>
      </c>
      <c r="C52" s="153">
        <f>(C35-(600*8.75%/4))*4/((77250+75500)/2)</f>
        <v>1.3940795587812761E-2</v>
      </c>
      <c r="D52" s="152">
        <f t="shared" ref="D52:F52" si="26">(D35-(600*8.75%/4))*4/((D39+C39)/2)</f>
        <v>1.6191904891541996E-2</v>
      </c>
      <c r="E52" s="152">
        <f t="shared" si="26"/>
        <v>1.5780986680729157E-2</v>
      </c>
      <c r="F52" s="152">
        <f t="shared" si="26"/>
        <v>1.63559808115495E-2</v>
      </c>
      <c r="G52" s="152">
        <f>(G35-(600*8.75%/4))*4/((G39+F39)/2)</f>
        <v>1.3839189487938802E-2</v>
      </c>
      <c r="H52" s="159">
        <f>(H35-(600*8.75%/4))*4/((H39+F39)/2)</f>
        <v>1.4021418589234506E-2</v>
      </c>
      <c r="I52" s="159">
        <f>(I35-(79.5/4))*4/((I39+H39)/2)</f>
        <v>1.2836120762604392E-2</v>
      </c>
      <c r="J52" s="159">
        <f>(J35-(81.6/4))*4/((J39+I39)/2)</f>
        <v>1.4438470577102057E-2</v>
      </c>
      <c r="K52" s="667">
        <f>(K35-(71.924833/4))*4/((K39+J39)/2)</f>
        <v>1.1962996173370087E-2</v>
      </c>
      <c r="L52" s="1021">
        <f>(L35-(71.924833/4))*4/((L39+K39)/2)</f>
        <v>1.4061811931950637E-2</v>
      </c>
      <c r="M52" s="159">
        <f>(M35-(600*8.75%/4))*2/((M39+F39)/2)</f>
        <v>1.4128093862588948E-2</v>
      </c>
      <c r="N52" s="891">
        <f>(N35-(71.924833/4))*2/((N39+J39)/2)</f>
        <v>1.3280776284056278E-2</v>
      </c>
    </row>
    <row r="53" spans="2:17" ht="24" customHeight="1" x14ac:dyDescent="0.2">
      <c r="B53" s="144" t="s">
        <v>391</v>
      </c>
      <c r="C53" s="153">
        <f>(C36*4-52.5)/((77250+75500)/2)</f>
        <v>1.1522461538461534E-2</v>
      </c>
      <c r="D53" s="152">
        <f t="shared" ref="D53:G53" si="27">(D36*4-52.5)/((D39+C39)/2)</f>
        <v>1.6474637615206761E-2</v>
      </c>
      <c r="E53" s="152">
        <f t="shared" si="27"/>
        <v>1.5713845881131602E-2</v>
      </c>
      <c r="F53" s="152">
        <f t="shared" si="27"/>
        <v>8.6736203526923735E-3</v>
      </c>
      <c r="G53" s="152">
        <f t="shared" si="27"/>
        <v>1.3755931163036904E-2</v>
      </c>
      <c r="H53" s="152">
        <f>(H36*4-52.5)/((H39+F39)/2)</f>
        <v>1.308845816249303E-2</v>
      </c>
      <c r="I53" s="152">
        <f>(I36*4-79.5)/((I39+H39)/2)</f>
        <v>1.1725345317881839E-2</v>
      </c>
      <c r="J53" s="152">
        <f>(J36*4-81.6)/((J39+I39)/2)</f>
        <v>1.0616725853110678E-2</v>
      </c>
      <c r="K53" s="663">
        <f>(K36*4-71.924833)/((K39+J39)/2)</f>
        <v>1.1710495798621117E-2</v>
      </c>
      <c r="L53" s="1022">
        <f>(L36*4-71.924833)/((L39+K39)/2)</f>
        <v>1.3875854046238973E-2</v>
      </c>
      <c r="M53" s="152">
        <f>(M36*2-52.5)/((M39+F39)/2)</f>
        <v>1.3293404139376281E-2</v>
      </c>
      <c r="N53" s="892">
        <f>(N36*2-71.924833)/((N39+J39)/2)</f>
        <v>1.2672106803251683E-2</v>
      </c>
    </row>
    <row r="54" spans="2:17" s="129" customFormat="1" ht="24" customHeight="1" x14ac:dyDescent="0.2">
      <c r="B54" s="218" t="s">
        <v>253</v>
      </c>
      <c r="C54" s="204">
        <f>C43/1245.893686</f>
        <v>5.2886711555258668</v>
      </c>
      <c r="D54" s="204">
        <f>D43/1245.212023</f>
        <v>5.4465728524370345</v>
      </c>
      <c r="E54" s="204">
        <f>E43/1246.622609</f>
        <v>5.6890063850029211</v>
      </c>
      <c r="F54" s="204">
        <f>F43/1246.037681</f>
        <v>5.7785186674463018</v>
      </c>
      <c r="G54" s="204">
        <f>G43/1247.448117</f>
        <v>6.0130412622202858</v>
      </c>
      <c r="H54" s="204">
        <f>H43/1247.575412</f>
        <v>5.8978454762941421</v>
      </c>
      <c r="I54" s="204">
        <f>I43/1247.988213</f>
        <v>6.0901389749584096</v>
      </c>
      <c r="J54" s="204">
        <f>J43/1230.028374</f>
        <v>5.9165952215668165</v>
      </c>
      <c r="K54" s="897">
        <f>K43/1229.472312</f>
        <v>6.1061366951710578</v>
      </c>
      <c r="L54" s="1019">
        <f>L43/1232.003102</f>
        <v>6.296183010746998</v>
      </c>
      <c r="M54" s="204">
        <f>M43/1247.575412</f>
        <v>5.8978454762941421</v>
      </c>
      <c r="N54" s="889">
        <f>N43/1232.003102</f>
        <v>6.296183010746998</v>
      </c>
      <c r="P54" s="940"/>
    </row>
    <row r="55" spans="2:17" ht="24" customHeight="1" x14ac:dyDescent="0.2">
      <c r="B55" s="144" t="s">
        <v>347</v>
      </c>
      <c r="C55" s="155">
        <f t="shared" ref="C55:H55" si="28">(C33-(600*8.75%/4))/(C10+C11-C12)</f>
        <v>0.44342485734920783</v>
      </c>
      <c r="D55" s="156">
        <f t="shared" si="28"/>
        <v>0.42055117458299912</v>
      </c>
      <c r="E55" s="156">
        <f t="shared" si="28"/>
        <v>0.41329473280784096</v>
      </c>
      <c r="F55" s="156">
        <f t="shared" si="28"/>
        <v>0.40193066726550902</v>
      </c>
      <c r="G55" s="156">
        <f t="shared" si="28"/>
        <v>0.41120818705974177</v>
      </c>
      <c r="H55" s="156">
        <f t="shared" si="28"/>
        <v>0.36489837390447166</v>
      </c>
      <c r="I55" s="156">
        <f>(I33-(79.5/4))/(I10+I11-I12)</f>
        <v>0.3941107326439352</v>
      </c>
      <c r="J55" s="156">
        <f>(J33-(81.6/4))/(J10+J11-J12)</f>
        <v>0.40000864703332234</v>
      </c>
      <c r="K55" s="664">
        <f>(K33-(71.924833/4))/(K10+K11-K12)</f>
        <v>0.4341768164728248</v>
      </c>
      <c r="L55" s="1023">
        <f>(L33-(71.924833/4))/(L10+L11-L12)</f>
        <v>0.3869538763691221</v>
      </c>
      <c r="M55" s="156">
        <f>(M33-(600*8.75%/2))/(M10+M11-M12)</f>
        <v>0.38808181311068457</v>
      </c>
      <c r="N55" s="893">
        <f>(N33-(71.924833/2))/(N10+N11-N12)</f>
        <v>0.40945575988628674</v>
      </c>
    </row>
    <row r="56" spans="2:17" ht="24" customHeight="1" x14ac:dyDescent="0.2">
      <c r="B56" s="144" t="s">
        <v>162</v>
      </c>
      <c r="C56" s="157">
        <f t="shared" ref="C56:I56" si="29">C41/C40</f>
        <v>3.5019107129450201E-2</v>
      </c>
      <c r="D56" s="158">
        <f t="shared" si="29"/>
        <v>3.2905083893808466E-2</v>
      </c>
      <c r="E56" s="158">
        <f t="shared" si="29"/>
        <v>3.2324782815762253E-2</v>
      </c>
      <c r="F56" s="158">
        <f t="shared" si="29"/>
        <v>2.5781082354817873E-2</v>
      </c>
      <c r="G56" s="158">
        <f t="shared" si="29"/>
        <v>2.6056849413631889E-2</v>
      </c>
      <c r="H56" s="158">
        <f t="shared" si="29"/>
        <v>2.5533026165501207E-2</v>
      </c>
      <c r="I56" s="158">
        <f t="shared" si="29"/>
        <v>2.5101399093383988E-2</v>
      </c>
      <c r="J56" s="158">
        <f t="shared" ref="J56" si="30">J41/J40</f>
        <v>2.0202287454129778E-2</v>
      </c>
      <c r="K56" s="665">
        <f>K41/K40</f>
        <v>2.0616654084867608E-2</v>
      </c>
      <c r="L56" s="1024">
        <f>L41/L40</f>
        <v>2.183574625449473E-2</v>
      </c>
      <c r="M56" s="158">
        <f>M41/M40</f>
        <v>2.5533026165501207E-2</v>
      </c>
      <c r="N56" s="894">
        <f>N41/N40</f>
        <v>2.183574625449473E-2</v>
      </c>
    </row>
    <row r="57" spans="2:17" ht="24" customHeight="1" x14ac:dyDescent="0.2">
      <c r="B57" s="144" t="s">
        <v>522</v>
      </c>
      <c r="C57" s="157">
        <v>0.60181217874520421</v>
      </c>
      <c r="D57" s="158">
        <v>0.58813475140659432</v>
      </c>
      <c r="E57" s="158">
        <v>0.61366123903278191</v>
      </c>
      <c r="F57" s="158">
        <v>0.64709908995150034</v>
      </c>
      <c r="G57" s="158">
        <v>0.64228307451304534</v>
      </c>
      <c r="H57" s="158">
        <v>0.67459235525568961</v>
      </c>
      <c r="I57" s="158">
        <v>0.71414551796231795</v>
      </c>
      <c r="J57" s="158">
        <f>'Loan portfolio quality'!J75</f>
        <v>0.73101494195570915</v>
      </c>
      <c r="K57" s="665">
        <f>'Loan portfolio quality'!K75</f>
        <v>0.70372030930906426</v>
      </c>
      <c r="L57" s="1024">
        <f>'Loan portfolio quality'!L75</f>
        <v>0.66805841722925574</v>
      </c>
      <c r="M57" s="158">
        <f>H57</f>
        <v>0.67459235525568961</v>
      </c>
      <c r="N57" s="894">
        <f>L57</f>
        <v>0.66805841722925574</v>
      </c>
    </row>
    <row r="58" spans="2:17" ht="24" customHeight="1" x14ac:dyDescent="0.2">
      <c r="B58" s="144" t="s">
        <v>155</v>
      </c>
      <c r="C58" s="153">
        <f>C10*4/((77250+75500)/2)</f>
        <v>2.7109865793780684E-2</v>
      </c>
      <c r="D58" s="152">
        <f t="shared" ref="D58:F58" si="31">D10*4/((D39+C39)/2)</f>
        <v>2.7427644583798531E-2</v>
      </c>
      <c r="E58" s="152">
        <f t="shared" si="31"/>
        <v>2.7256105968659187E-2</v>
      </c>
      <c r="F58" s="152">
        <f t="shared" si="31"/>
        <v>2.6014731183636831E-2</v>
      </c>
      <c r="G58" s="152">
        <f>G10*4/((G39+F39)/2)</f>
        <v>2.444934036735277E-2</v>
      </c>
      <c r="H58" s="152">
        <f>H10*4/((H39+G39)/2)</f>
        <v>2.3753196351874572E-2</v>
      </c>
      <c r="I58" s="152">
        <f>I10*4/((I39+H39)/2)</f>
        <v>2.2943693680356349E-2</v>
      </c>
      <c r="J58" s="152">
        <f>J10*4/((J39+H39)/2)</f>
        <v>2.2264455035451894E-2</v>
      </c>
      <c r="K58" s="663">
        <f>K10*4/((K39+J39)/2)</f>
        <v>2.1395717053794679E-2</v>
      </c>
      <c r="L58" s="1022">
        <f>L10*4/((L39+K39)/2)</f>
        <v>2.2205073985320085E-2</v>
      </c>
      <c r="M58" s="152">
        <f>M10*2/((M39+F39)/2)</f>
        <v>2.3807304851240229E-2</v>
      </c>
      <c r="N58" s="892">
        <f>N10*2/((N39+J39)/2)</f>
        <v>2.1581108067088378E-2</v>
      </c>
    </row>
    <row r="59" spans="2:17" ht="24" customHeight="1" x14ac:dyDescent="0.2">
      <c r="B59" s="144" t="s">
        <v>152</v>
      </c>
      <c r="C59" s="153">
        <f>(C11-C12)*4/((77250+75500)/2)</f>
        <v>7.6108674304418986E-3</v>
      </c>
      <c r="D59" s="152">
        <f t="shared" ref="D59:G59" si="32">(D11-D12)*4/((D39+C39)/2)</f>
        <v>8.6973303351758242E-3</v>
      </c>
      <c r="E59" s="152">
        <f t="shared" si="32"/>
        <v>8.02473249484335E-3</v>
      </c>
      <c r="F59" s="152">
        <f t="shared" si="32"/>
        <v>8.4781736122729774E-3</v>
      </c>
      <c r="G59" s="152">
        <f t="shared" si="32"/>
        <v>8.1195670077152931E-3</v>
      </c>
      <c r="H59" s="152">
        <f>(H11-H12)*4/((H39+G39)/2)</f>
        <v>8.3027795460791157E-3</v>
      </c>
      <c r="I59" s="152">
        <f>(I11-I12)*4/((I39+H39)/2)</f>
        <v>7.9783490925637579E-3</v>
      </c>
      <c r="J59" s="152">
        <f>(J11-J12)*4/((J39+H39)/2)</f>
        <v>9.6413733198816992E-3</v>
      </c>
      <c r="K59" s="663">
        <f>(K11-K12)*4/((K39+J39)/2)</f>
        <v>9.350826684827453E-3</v>
      </c>
      <c r="L59" s="1022">
        <f>(L11-L12)*4/((L39+K39)/2)</f>
        <v>1.0964184980471858E-2</v>
      </c>
      <c r="M59" s="152">
        <f>(M11-M12)*2/((M39+F39)/2)</f>
        <v>8.1124137411658446E-3</v>
      </c>
      <c r="N59" s="892">
        <f>(N11-N12)*2/((N39+J39)/2)</f>
        <v>1.0060903218099703E-2</v>
      </c>
    </row>
    <row r="60" spans="2:17" ht="24" customHeight="1" x14ac:dyDescent="0.2">
      <c r="B60" s="144" t="s">
        <v>389</v>
      </c>
      <c r="C60" s="155">
        <f t="shared" ref="C60:F60" si="33">(C11-C12)/(C16-C12-C15)</f>
        <v>0.22879166450186805</v>
      </c>
      <c r="D60" s="156">
        <f t="shared" si="33"/>
        <v>0.23427481080104026</v>
      </c>
      <c r="E60" s="156">
        <f t="shared" si="33"/>
        <v>0.2199735638727531</v>
      </c>
      <c r="F60" s="156">
        <f t="shared" si="33"/>
        <v>0.22923195774617022</v>
      </c>
      <c r="G60" s="156">
        <f>(G11-G12)/(G16-G12-G15)</f>
        <v>0.24593200505034948</v>
      </c>
      <c r="H60" s="156">
        <f t="shared" ref="H60:I60" si="34">(H11-H12)/(H16-H12-H15)</f>
        <v>0.24095747158561581</v>
      </c>
      <c r="I60" s="156">
        <f t="shared" si="34"/>
        <v>0.2527076814412591</v>
      </c>
      <c r="J60" s="156">
        <f t="shared" ref="J60" si="35">(J11-J12)/(J16-J12-J15)</f>
        <v>0.28580386985988032</v>
      </c>
      <c r="K60" s="664">
        <f>(K11-K12)/(K16-K12-K15)</f>
        <v>0.31848752528556029</v>
      </c>
      <c r="L60" s="1023">
        <f>(L11-L12)/(L16-L12-L15)</f>
        <v>0.31876246890705112</v>
      </c>
      <c r="M60" s="156">
        <f>(M11-M12)/(M16-M12-M15)</f>
        <v>0.24337491656914356</v>
      </c>
      <c r="N60" s="893">
        <f>(N11-N12)/(N16-N12-N15)</f>
        <v>0.31863709873406537</v>
      </c>
      <c r="Q60" s="696"/>
    </row>
    <row r="61" spans="2:17" ht="24" customHeight="1" thickBot="1" x14ac:dyDescent="0.25">
      <c r="B61" s="144" t="s">
        <v>657</v>
      </c>
      <c r="C61" s="160">
        <f t="shared" ref="C61:J61" si="36">-(C20)/(C16)</f>
        <v>0.34201540538394354</v>
      </c>
      <c r="D61" s="154">
        <f t="shared" si="36"/>
        <v>0.27995157171545765</v>
      </c>
      <c r="E61" s="154">
        <f t="shared" si="36"/>
        <v>0.2929348713693084</v>
      </c>
      <c r="F61" s="154">
        <f t="shared" si="36"/>
        <v>0.36139434350961019</v>
      </c>
      <c r="G61" s="154">
        <f t="shared" si="36"/>
        <v>0.34486188525852246</v>
      </c>
      <c r="H61" s="154">
        <f t="shared" si="36"/>
        <v>0.30837758524315262</v>
      </c>
      <c r="I61" s="154">
        <f t="shared" si="36"/>
        <v>0.32575454981470719</v>
      </c>
      <c r="J61" s="154">
        <f t="shared" si="36"/>
        <v>0.35400539345729343</v>
      </c>
      <c r="K61" s="666">
        <f t="shared" ref="K61:N61" si="37">-(K20)/(K16)</f>
        <v>0.37254260692612379</v>
      </c>
      <c r="L61" s="1025">
        <f t="shared" si="37"/>
        <v>0.31006142443778872</v>
      </c>
      <c r="M61" s="154">
        <f t="shared" si="37"/>
        <v>0.32610764750425758</v>
      </c>
      <c r="N61" s="895">
        <f t="shared" si="37"/>
        <v>0.33855190773921301</v>
      </c>
    </row>
    <row r="62" spans="2:17" ht="24" customHeight="1" x14ac:dyDescent="0.2">
      <c r="B62" s="196" t="s">
        <v>348</v>
      </c>
      <c r="C62" s="198">
        <v>1.6941793684807174E-3</v>
      </c>
      <c r="D62" s="197">
        <v>2.1094436135327844E-3</v>
      </c>
      <c r="E62" s="197">
        <v>3.3198332769754715E-3</v>
      </c>
      <c r="F62" s="197">
        <v>1.5852349911984274E-3</v>
      </c>
      <c r="G62" s="197">
        <v>1.376717734810848E-3</v>
      </c>
      <c r="H62" s="197">
        <v>4.7670280883667969E-3</v>
      </c>
      <c r="I62" s="197">
        <v>4.7795240867383433E-3</v>
      </c>
      <c r="J62" s="197">
        <v>3.0832596089883967E-3</v>
      </c>
      <c r="K62" s="998">
        <v>1.8673201034725461E-3</v>
      </c>
      <c r="L62" s="1026">
        <v>4.4581333152136863E-3</v>
      </c>
      <c r="M62" s="197">
        <v>3.0557745409047505E-3</v>
      </c>
      <c r="N62" s="924">
        <v>3.1548112756924203E-3</v>
      </c>
    </row>
    <row r="63" spans="2:17" ht="24" customHeight="1" x14ac:dyDescent="0.2">
      <c r="B63" s="144" t="s">
        <v>349</v>
      </c>
      <c r="C63" s="161">
        <v>5.0896781987412026E-3</v>
      </c>
      <c r="D63" s="159">
        <v>4.595459772637818E-3</v>
      </c>
      <c r="E63" s="159">
        <v>5.4063996603971988E-3</v>
      </c>
      <c r="F63" s="159">
        <v>4.1043913004892912E-3</v>
      </c>
      <c r="G63" s="159">
        <v>3.409871455100303E-3</v>
      </c>
      <c r="H63" s="159">
        <v>6.6031770534387517E-3</v>
      </c>
      <c r="I63" s="159">
        <v>6.3161555840491766E-3</v>
      </c>
      <c r="J63" s="159">
        <v>5.0525931178362973E-3</v>
      </c>
      <c r="K63" s="999">
        <v>3.2369175168354271E-3</v>
      </c>
      <c r="L63" s="1021">
        <v>5.853998400378646E-3</v>
      </c>
      <c r="M63" s="159">
        <v>4.9666516113295554E-3</v>
      </c>
      <c r="N63" s="925">
        <v>4.5317369014676416E-3</v>
      </c>
    </row>
    <row r="64" spans="2:17" ht="24" customHeight="1" x14ac:dyDescent="0.2">
      <c r="B64" s="144" t="s">
        <v>596</v>
      </c>
      <c r="C64" s="151">
        <f>'Capital adequacy'!C17</f>
        <v>0.13598498112337623</v>
      </c>
      <c r="D64" s="150">
        <f>'Capital adequacy'!D17</f>
        <v>0.13851162762592328</v>
      </c>
      <c r="E64" s="150">
        <f>'Capital adequacy'!E17</f>
        <v>0.14668014753776559</v>
      </c>
      <c r="F64" s="150">
        <f>'Capital adequacy'!F17</f>
        <v>0.14474597421804952</v>
      </c>
      <c r="G64" s="150">
        <f>'Capital adequacy'!G17</f>
        <v>0.14203926606529449</v>
      </c>
      <c r="H64" s="150">
        <f>'Capital adequacy'!H17</f>
        <v>0.14189354005867452</v>
      </c>
      <c r="I64" s="150">
        <f>'Capital adequacy'!I17</f>
        <v>0.14432455650869397</v>
      </c>
      <c r="J64" s="150">
        <f>'Capital adequacy'!J17</f>
        <v>0.12704501398399901</v>
      </c>
      <c r="K64" s="662">
        <f>'Capital adequacy'!K17</f>
        <v>0.12603139537859803</v>
      </c>
      <c r="L64" s="1020">
        <f>'Capital adequacy'!L17</f>
        <v>0.12780603705969953</v>
      </c>
      <c r="M64" s="150">
        <f>H64</f>
        <v>0.14189354005867452</v>
      </c>
      <c r="N64" s="890">
        <f>'Capital adequacy'!L17</f>
        <v>0.12780603705969953</v>
      </c>
      <c r="P64" s="696"/>
    </row>
    <row r="65" spans="2:16" s="129" customFormat="1" ht="24" customHeight="1" x14ac:dyDescent="0.2">
      <c r="B65" s="166" t="s">
        <v>597</v>
      </c>
      <c r="C65" s="167">
        <f>'Capital adequacy'!C18</f>
        <v>0.18411040756238964</v>
      </c>
      <c r="D65" s="168">
        <f>'Capital adequacy'!D18</f>
        <v>0.18560019473013317</v>
      </c>
      <c r="E65" s="168">
        <f>'Capital adequacy'!E18</f>
        <v>0.1987311370219155</v>
      </c>
      <c r="F65" s="168">
        <f>'Capital adequacy'!F18</f>
        <v>0.19672746117570378</v>
      </c>
      <c r="G65" s="168">
        <f>'Capital adequacy'!G18</f>
        <v>0.19205741894043063</v>
      </c>
      <c r="H65" s="168">
        <f>'Capital adequacy'!H18</f>
        <v>0.20205131763220915</v>
      </c>
      <c r="I65" s="168">
        <f>'Capital adequacy'!I18</f>
        <v>0.20323735245146224</v>
      </c>
      <c r="J65" s="168">
        <f>'Capital adequacy'!J18</f>
        <v>0.18741681704426916</v>
      </c>
      <c r="K65" s="668">
        <f>'Capital adequacy'!K18</f>
        <v>0.18527154213044364</v>
      </c>
      <c r="L65" s="1027">
        <f>'Capital adequacy'!L18</f>
        <v>0.18609097935071953</v>
      </c>
      <c r="M65" s="168">
        <f>H65</f>
        <v>0.20205131763220915</v>
      </c>
      <c r="N65" s="896">
        <f>'Capital adequacy'!L18</f>
        <v>0.18609097935071953</v>
      </c>
      <c r="P65" s="696"/>
    </row>
    <row r="66" spans="2:16" ht="15.75" customHeight="1" x14ac:dyDescent="0.2">
      <c r="B66" s="130"/>
      <c r="C66" s="130"/>
      <c r="D66" s="130"/>
      <c r="E66" s="130"/>
      <c r="F66" s="130"/>
      <c r="G66" s="130"/>
      <c r="H66" s="130"/>
      <c r="I66" s="130"/>
      <c r="J66" s="130"/>
      <c r="K66" s="130"/>
      <c r="L66" s="130"/>
      <c r="M66" s="130"/>
      <c r="N66" s="130"/>
    </row>
    <row r="67" spans="2:16" ht="15.75" customHeight="1" x14ac:dyDescent="0.2">
      <c r="B67" s="923" t="s">
        <v>658</v>
      </c>
      <c r="C67" s="130"/>
      <c r="D67" s="130"/>
      <c r="E67" s="130"/>
      <c r="F67" s="130"/>
      <c r="G67" s="130"/>
      <c r="H67" s="130"/>
      <c r="I67" s="130"/>
      <c r="J67" s="130"/>
      <c r="K67" s="130"/>
      <c r="L67" s="130"/>
      <c r="M67" s="130"/>
      <c r="N67" s="130"/>
    </row>
    <row r="68" spans="2:16" ht="24" customHeight="1" x14ac:dyDescent="0.2">
      <c r="B68" s="923" t="s">
        <v>601</v>
      </c>
      <c r="C68" s="848"/>
      <c r="D68" s="848"/>
      <c r="E68" s="848"/>
      <c r="F68" s="848"/>
      <c r="G68" s="848"/>
      <c r="H68" s="848"/>
      <c r="I68" s="848"/>
      <c r="J68" s="848"/>
      <c r="K68" s="848"/>
      <c r="L68" s="848"/>
      <c r="M68" s="848"/>
      <c r="N68" s="848"/>
    </row>
    <row r="69" spans="2:16" ht="24" customHeight="1" x14ac:dyDescent="0.2">
      <c r="B69" s="849"/>
      <c r="C69" s="848"/>
      <c r="D69" s="848"/>
      <c r="E69" s="848"/>
      <c r="F69" s="848"/>
      <c r="G69" s="848"/>
      <c r="H69" s="848"/>
      <c r="I69" s="848"/>
      <c r="J69" s="848"/>
      <c r="K69" s="848"/>
      <c r="L69" s="848"/>
      <c r="M69" s="848"/>
      <c r="N69" s="848"/>
    </row>
    <row r="70" spans="2:16" ht="24" customHeight="1" x14ac:dyDescent="0.2">
      <c r="B70" s="849"/>
      <c r="C70" s="312"/>
      <c r="D70" s="312"/>
      <c r="E70" s="312"/>
      <c r="F70" s="312"/>
      <c r="G70" s="312"/>
      <c r="H70" s="312"/>
      <c r="I70" s="312"/>
      <c r="J70" s="312"/>
      <c r="K70" s="312"/>
      <c r="L70" s="312"/>
      <c r="M70" s="312"/>
      <c r="N70" s="312"/>
    </row>
    <row r="71" spans="2:16" ht="24" customHeight="1" x14ac:dyDescent="0.2">
      <c r="B71" s="1098"/>
      <c r="C71" s="1098"/>
      <c r="D71" s="1098"/>
      <c r="E71" s="1098"/>
      <c r="F71" s="1098"/>
      <c r="G71" s="1098"/>
      <c r="H71" s="1098"/>
      <c r="I71" s="1098"/>
      <c r="J71" s="1098"/>
      <c r="K71" s="1098"/>
      <c r="L71" s="1098"/>
      <c r="M71" s="1098"/>
      <c r="N71" s="1098"/>
    </row>
    <row r="72" spans="2:16" ht="24" customHeight="1" x14ac:dyDescent="0.2">
      <c r="B72" s="849"/>
      <c r="C72" s="850"/>
      <c r="D72" s="850"/>
      <c r="E72" s="850"/>
      <c r="F72" s="850"/>
      <c r="G72" s="850"/>
      <c r="H72" s="850"/>
      <c r="I72" s="850"/>
      <c r="J72" s="850"/>
      <c r="K72" s="850"/>
      <c r="L72" s="850"/>
      <c r="M72" s="850"/>
      <c r="N72" s="850"/>
    </row>
    <row r="73" spans="2:16" ht="24" customHeight="1" x14ac:dyDescent="0.2">
      <c r="B73" s="1098"/>
      <c r="C73" s="1098"/>
      <c r="D73" s="1098"/>
      <c r="E73" s="1098"/>
      <c r="F73" s="1098"/>
      <c r="G73" s="1098"/>
      <c r="H73" s="1098"/>
      <c r="I73" s="1098"/>
      <c r="J73" s="1098"/>
      <c r="K73" s="1098"/>
      <c r="L73" s="1098"/>
      <c r="M73" s="1098"/>
      <c r="N73" s="1098"/>
    </row>
  </sheetData>
  <mergeCells count="3">
    <mergeCell ref="B5:N5"/>
    <mergeCell ref="B71:N71"/>
    <mergeCell ref="B73:N73"/>
  </mergeCells>
  <phoneticPr fontId="112" type="noConversion"/>
  <hyperlinks>
    <hyperlink ref="N2" location="'Cover '!A1" display="Back to Cover" xr:uid="{941B3DBC-3B40-40A1-9B07-7C4D67366AF4}"/>
  </hyperlinks>
  <printOptions horizontalCentered="1" verticalCentered="1"/>
  <pageMargins left="0" right="0" top="0" bottom="0" header="0" footer="0"/>
  <pageSetup paperSize="8" scale="50" orientation="portrait" r:id="rId1"/>
  <headerFooter alignWithMargins="0"/>
  <ignoredErrors>
    <ignoredError sqref="J58:J59 M54 M64:M65" 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2DD7F-FF08-46C8-AB31-D1A159C6B2D2}">
  <sheetPr codeName="Foglio10">
    <pageSetUpPr fitToPage="1"/>
  </sheetPr>
  <dimension ref="A1:N22"/>
  <sheetViews>
    <sheetView showGridLines="0" view="pageBreakPreview" zoomScale="85" zoomScaleNormal="85" zoomScaleSheetLayoutView="85" workbookViewId="0">
      <selection activeCell="H17" sqref="H17"/>
    </sheetView>
  </sheetViews>
  <sheetFormatPr defaultColWidth="9.140625" defaultRowHeight="15" customHeight="1" x14ac:dyDescent="0.2"/>
  <cols>
    <col min="1" max="1" width="2.42578125" style="20" customWidth="1"/>
    <col min="2" max="2" width="35.28515625" style="20" customWidth="1"/>
    <col min="3" max="3" width="32" style="22" customWidth="1"/>
    <col min="4" max="4" width="28.7109375" style="22" customWidth="1"/>
    <col min="5" max="8" width="28.7109375" style="96" customWidth="1"/>
    <col min="9" max="9" width="28.7109375" style="22" customWidth="1"/>
    <col min="10" max="10" width="2.42578125" style="20" customWidth="1"/>
    <col min="11" max="16384" width="9.140625" style="20"/>
  </cols>
  <sheetData>
    <row r="1" spans="1:14" s="23" customFormat="1" ht="15.75" customHeight="1" x14ac:dyDescent="0.35">
      <c r="B1" s="481"/>
      <c r="C1" s="481"/>
      <c r="D1" s="481"/>
      <c r="E1" s="570"/>
      <c r="F1" s="570"/>
      <c r="G1" s="570"/>
      <c r="H1" s="570"/>
      <c r="I1" s="481"/>
    </row>
    <row r="2" spans="1:14" s="23" customFormat="1" ht="15.75" customHeight="1" x14ac:dyDescent="0.35">
      <c r="B2" s="481"/>
      <c r="C2" s="506"/>
      <c r="D2" s="506"/>
      <c r="E2" s="571"/>
      <c r="F2" s="571"/>
      <c r="G2" s="571"/>
      <c r="H2" s="571"/>
      <c r="I2" s="482" t="s">
        <v>18</v>
      </c>
    </row>
    <row r="3" spans="1:14" s="23" customFormat="1" ht="15.75" customHeight="1" x14ac:dyDescent="0.35">
      <c r="B3" s="481"/>
      <c r="C3" s="481"/>
      <c r="D3" s="481"/>
      <c r="E3" s="570"/>
      <c r="F3" s="570"/>
      <c r="G3" s="570"/>
      <c r="H3" s="570"/>
      <c r="I3" s="481"/>
    </row>
    <row r="4" spans="1:14" s="24" customFormat="1" ht="15.75" customHeight="1" x14ac:dyDescent="0.3">
      <c r="B4" s="483"/>
      <c r="C4" s="483"/>
      <c r="D4" s="483"/>
      <c r="E4" s="572"/>
      <c r="F4" s="572"/>
      <c r="G4" s="572"/>
      <c r="H4" s="572"/>
      <c r="I4" s="483"/>
    </row>
    <row r="5" spans="1:14" ht="28.5" x14ac:dyDescent="0.2">
      <c r="A5" s="16"/>
      <c r="B5" s="1091" t="s">
        <v>409</v>
      </c>
      <c r="C5" s="1091"/>
      <c r="D5" s="1091"/>
      <c r="E5" s="1091"/>
      <c r="F5" s="1091"/>
      <c r="G5" s="1091"/>
      <c r="H5" s="1091"/>
      <c r="I5" s="1091"/>
    </row>
    <row r="6" spans="1:14" ht="9" customHeight="1" x14ac:dyDescent="0.2">
      <c r="A6" s="16"/>
      <c r="B6" s="117"/>
      <c r="C6" s="117"/>
      <c r="D6" s="117"/>
      <c r="E6" s="117"/>
      <c r="F6" s="117"/>
      <c r="G6" s="117"/>
      <c r="H6" s="117"/>
      <c r="I6" s="117"/>
    </row>
    <row r="7" spans="1:14" ht="11.25" customHeight="1" x14ac:dyDescent="0.2">
      <c r="A7" s="18"/>
      <c r="B7" s="438"/>
      <c r="C7" s="438"/>
      <c r="D7" s="438"/>
      <c r="E7" s="438"/>
      <c r="F7" s="438"/>
      <c r="G7" s="438"/>
      <c r="H7" s="438"/>
      <c r="I7" s="438"/>
    </row>
    <row r="8" spans="1:14" s="23" customFormat="1" ht="11.25" customHeight="1" x14ac:dyDescent="0.35">
      <c r="B8" s="481"/>
      <c r="C8" s="484"/>
      <c r="D8" s="484"/>
      <c r="E8" s="484"/>
      <c r="F8" s="484"/>
      <c r="G8" s="484"/>
      <c r="H8" s="484"/>
      <c r="I8" s="484"/>
    </row>
    <row r="9" spans="1:14" s="23" customFormat="1" ht="45.75" customHeight="1" x14ac:dyDescent="0.3">
      <c r="B9" s="737" t="s">
        <v>400</v>
      </c>
      <c r="C9" s="492" t="s">
        <v>397</v>
      </c>
      <c r="D9" s="492" t="s">
        <v>398</v>
      </c>
      <c r="E9" s="492" t="s">
        <v>405</v>
      </c>
      <c r="F9" s="492" t="s">
        <v>406</v>
      </c>
      <c r="G9" s="492" t="s">
        <v>676</v>
      </c>
      <c r="H9" s="492" t="s">
        <v>677</v>
      </c>
      <c r="I9" s="493" t="s">
        <v>396</v>
      </c>
      <c r="N9" s="64"/>
    </row>
    <row r="10" spans="1:14" s="23" customFormat="1" ht="32.25" customHeight="1" x14ac:dyDescent="0.25">
      <c r="B10" s="702"/>
      <c r="C10" s="700"/>
      <c r="D10" s="700"/>
      <c r="E10" s="700"/>
      <c r="F10" s="700"/>
      <c r="G10" s="700"/>
      <c r="H10" s="700"/>
      <c r="I10" s="701"/>
      <c r="N10" s="64"/>
    </row>
    <row r="11" spans="1:14" s="25" customFormat="1" ht="40.9" customHeight="1" x14ac:dyDescent="0.25">
      <c r="B11" s="731" t="s">
        <v>394</v>
      </c>
      <c r="C11" s="739">
        <v>44285</v>
      </c>
      <c r="D11" s="733" t="s">
        <v>407</v>
      </c>
      <c r="E11" s="733">
        <v>1391</v>
      </c>
      <c r="F11" s="733">
        <v>792</v>
      </c>
      <c r="G11" s="733">
        <v>197</v>
      </c>
      <c r="H11" s="733">
        <v>92</v>
      </c>
      <c r="I11" s="734" t="s">
        <v>399</v>
      </c>
      <c r="N11" s="65"/>
    </row>
    <row r="12" spans="1:14" s="25" customFormat="1" ht="40.9" customHeight="1" x14ac:dyDescent="0.25">
      <c r="B12" s="731" t="s">
        <v>395</v>
      </c>
      <c r="C12" s="739">
        <v>44420</v>
      </c>
      <c r="D12" s="733" t="s">
        <v>407</v>
      </c>
      <c r="E12" s="735">
        <v>1110</v>
      </c>
      <c r="F12" s="735">
        <v>522</v>
      </c>
      <c r="G12" s="735">
        <v>245</v>
      </c>
      <c r="H12" s="735">
        <v>78</v>
      </c>
      <c r="I12" s="736" t="s">
        <v>399</v>
      </c>
      <c r="N12" s="65"/>
    </row>
    <row r="13" spans="1:14" s="25" customFormat="1" ht="40.9" customHeight="1" x14ac:dyDescent="0.25">
      <c r="B13" s="731" t="s">
        <v>402</v>
      </c>
      <c r="C13" s="739">
        <v>44915</v>
      </c>
      <c r="D13" s="732" t="s">
        <v>407</v>
      </c>
      <c r="E13" s="735">
        <v>1412</v>
      </c>
      <c r="F13" s="735">
        <v>738</v>
      </c>
      <c r="G13" s="735">
        <v>615</v>
      </c>
      <c r="H13" s="735">
        <v>226</v>
      </c>
      <c r="I13" s="736" t="s">
        <v>403</v>
      </c>
      <c r="N13" s="65"/>
    </row>
    <row r="14" spans="1:14" s="25" customFormat="1" ht="40.9" customHeight="1" x14ac:dyDescent="0.25">
      <c r="B14" s="731" t="s">
        <v>401</v>
      </c>
      <c r="C14" s="739">
        <v>45644</v>
      </c>
      <c r="D14" s="732" t="s">
        <v>407</v>
      </c>
      <c r="E14" s="735">
        <v>2084</v>
      </c>
      <c r="F14" s="735">
        <v>1008</v>
      </c>
      <c r="G14" s="735">
        <v>1980</v>
      </c>
      <c r="H14" s="735">
        <v>1095</v>
      </c>
      <c r="I14" s="736" t="s">
        <v>404</v>
      </c>
      <c r="N14" s="65"/>
    </row>
    <row r="15" spans="1:14" s="25" customFormat="1" ht="40.9" customHeight="1" x14ac:dyDescent="0.25">
      <c r="B15" s="1060" t="s">
        <v>554</v>
      </c>
      <c r="C15" s="1061">
        <v>46010</v>
      </c>
      <c r="D15" s="1062" t="s">
        <v>407</v>
      </c>
      <c r="E15" s="1063">
        <v>2088</v>
      </c>
      <c r="F15" s="1063">
        <v>998</v>
      </c>
      <c r="G15" s="1063">
        <v>1984</v>
      </c>
      <c r="H15" s="1063">
        <v>962</v>
      </c>
      <c r="I15" s="1064" t="s">
        <v>555</v>
      </c>
      <c r="N15" s="65"/>
    </row>
    <row r="16" spans="1:14" s="25" customFormat="1" ht="41.45" customHeight="1" x14ac:dyDescent="0.25">
      <c r="B16" s="861" t="s">
        <v>678</v>
      </c>
      <c r="C16" s="862">
        <v>46199</v>
      </c>
      <c r="D16" s="863" t="s">
        <v>408</v>
      </c>
      <c r="E16" s="864" t="s">
        <v>680</v>
      </c>
      <c r="F16" s="864" t="s">
        <v>679</v>
      </c>
      <c r="G16" s="864" t="s">
        <v>681</v>
      </c>
      <c r="H16" s="864" t="s">
        <v>695</v>
      </c>
      <c r="I16" s="865" t="s">
        <v>399</v>
      </c>
      <c r="N16" s="65"/>
    </row>
    <row r="17" spans="2:10" s="26" customFormat="1" ht="16.149999999999999" customHeight="1" x14ac:dyDescent="0.35">
      <c r="B17" s="531"/>
      <c r="C17" s="512"/>
      <c r="D17" s="512"/>
      <c r="E17" s="576"/>
      <c r="F17" s="576"/>
      <c r="G17" s="576"/>
      <c r="H17" s="576"/>
      <c r="I17" s="512"/>
    </row>
    <row r="18" spans="2:10" s="26" customFormat="1" ht="22.5" customHeight="1" x14ac:dyDescent="0.3">
      <c r="B18" s="1092"/>
      <c r="C18" s="1093"/>
      <c r="D18" s="1093"/>
      <c r="E18" s="1093"/>
      <c r="F18" s="1093"/>
      <c r="G18" s="1093"/>
      <c r="H18" s="1093"/>
      <c r="I18" s="1093"/>
      <c r="J18" s="1093"/>
    </row>
    <row r="19" spans="2:10" s="19" customFormat="1" ht="15" customHeight="1" x14ac:dyDescent="0.2">
      <c r="B19" s="1094"/>
      <c r="C19" s="1094"/>
      <c r="D19" s="1094"/>
      <c r="E19" s="1094"/>
      <c r="F19" s="1094"/>
      <c r="G19" s="1094"/>
      <c r="H19" s="1094"/>
      <c r="I19" s="1094"/>
    </row>
    <row r="22" spans="2:10" ht="15" customHeight="1" x14ac:dyDescent="0.2">
      <c r="C22" s="67"/>
      <c r="D22" s="67"/>
      <c r="E22" s="95"/>
      <c r="F22" s="95"/>
      <c r="G22" s="95"/>
      <c r="H22" s="95"/>
      <c r="I22" s="67"/>
    </row>
  </sheetData>
  <mergeCells count="3">
    <mergeCell ref="B5:I5"/>
    <mergeCell ref="B18:J18"/>
    <mergeCell ref="B19:I19"/>
  </mergeCells>
  <hyperlinks>
    <hyperlink ref="I2" location="'Cover '!A1" display="Back to Cover" xr:uid="{5B0A15BA-5923-4377-B088-B0C19B6E4D47}"/>
  </hyperlinks>
  <printOptions horizontalCentered="1" verticalCentered="1"/>
  <pageMargins left="0" right="0" top="0" bottom="0" header="0" footer="0"/>
  <pageSetup paperSize="8" scale="85"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D52BC-281C-49EE-A228-66A30337EB3E}">
  <sheetPr codeName="Foglio11">
    <pageSetUpPr fitToPage="1"/>
  </sheetPr>
  <dimension ref="A1:M32"/>
  <sheetViews>
    <sheetView showGridLines="0" view="pageBreakPreview" zoomScaleNormal="85" zoomScaleSheetLayoutView="100" workbookViewId="0">
      <selection activeCell="F18" sqref="F18:G18"/>
    </sheetView>
  </sheetViews>
  <sheetFormatPr defaultColWidth="9.140625" defaultRowHeight="15" customHeight="1" x14ac:dyDescent="0.2"/>
  <cols>
    <col min="1" max="1" width="2.42578125" style="787" customWidth="1"/>
    <col min="2" max="2" width="43.28515625" style="787" customWidth="1"/>
    <col min="3" max="4" width="23.7109375" style="795" customWidth="1"/>
    <col min="5" max="5" width="23.7109375" style="796" customWidth="1"/>
    <col min="6" max="7" width="23.7109375" style="795" customWidth="1"/>
    <col min="8" max="8" width="2.42578125" style="787" customWidth="1"/>
    <col min="9" max="12" width="9.140625" style="787"/>
    <col min="13" max="13" width="10.42578125" style="787" customWidth="1"/>
    <col min="14" max="16384" width="9.140625" style="787"/>
  </cols>
  <sheetData>
    <row r="1" spans="1:12" s="481" customFormat="1" ht="15.75" customHeight="1" x14ac:dyDescent="0.35">
      <c r="E1" s="570"/>
    </row>
    <row r="2" spans="1:12" s="481" customFormat="1" ht="15.75" customHeight="1" x14ac:dyDescent="0.35">
      <c r="C2" s="506"/>
      <c r="D2" s="506"/>
      <c r="E2" s="571"/>
      <c r="F2" s="482"/>
      <c r="G2" s="482" t="s">
        <v>18</v>
      </c>
    </row>
    <row r="3" spans="1:12" s="481" customFormat="1" ht="15.75" customHeight="1" x14ac:dyDescent="0.35">
      <c r="E3" s="570"/>
    </row>
    <row r="4" spans="1:12" s="483" customFormat="1" ht="15.75" customHeight="1" x14ac:dyDescent="0.3">
      <c r="E4" s="572"/>
    </row>
    <row r="5" spans="1:12" ht="28.5" x14ac:dyDescent="0.2">
      <c r="A5" s="115"/>
      <c r="B5" s="1091" t="s">
        <v>452</v>
      </c>
      <c r="C5" s="1091"/>
      <c r="D5" s="1091"/>
      <c r="E5" s="1091"/>
      <c r="F5" s="1091"/>
      <c r="G5" s="1091"/>
    </row>
    <row r="6" spans="1:12" ht="9" customHeight="1" x14ac:dyDescent="0.2">
      <c r="A6" s="115"/>
      <c r="B6" s="117"/>
      <c r="C6" s="117"/>
      <c r="D6" s="117"/>
      <c r="E6" s="117"/>
      <c r="F6" s="117"/>
      <c r="G6" s="117"/>
    </row>
    <row r="7" spans="1:12" ht="11.25" customHeight="1" x14ac:dyDescent="0.2">
      <c r="A7" s="117"/>
      <c r="B7" s="438"/>
      <c r="C7" s="438"/>
      <c r="D7" s="438"/>
      <c r="E7" s="438"/>
      <c r="F7" s="438"/>
      <c r="G7" s="438"/>
    </row>
    <row r="8" spans="1:12" ht="49.35" customHeight="1" x14ac:dyDescent="0.2">
      <c r="A8" s="117"/>
      <c r="B8" s="1117" t="s">
        <v>656</v>
      </c>
      <c r="C8" s="1118"/>
      <c r="D8" s="1118"/>
      <c r="E8" s="1118"/>
      <c r="F8" s="1118"/>
      <c r="G8" s="1118"/>
    </row>
    <row r="9" spans="1:12" s="481" customFormat="1" ht="11.25" customHeight="1" x14ac:dyDescent="0.35">
      <c r="C9" s="484"/>
      <c r="D9" s="484"/>
      <c r="E9" s="484"/>
      <c r="F9" s="484"/>
      <c r="G9" s="484"/>
    </row>
    <row r="10" spans="1:12" s="481" customFormat="1" ht="45.75" customHeight="1" x14ac:dyDescent="0.35">
      <c r="B10" s="737"/>
      <c r="C10" s="763">
        <v>2023</v>
      </c>
      <c r="D10" s="763">
        <v>2024</v>
      </c>
      <c r="E10" s="492" t="s">
        <v>421</v>
      </c>
      <c r="F10" s="492" t="s">
        <v>675</v>
      </c>
      <c r="G10" s="493" t="s">
        <v>667</v>
      </c>
      <c r="L10" s="788"/>
    </row>
    <row r="11" spans="1:12" s="481" customFormat="1" ht="24.75" customHeight="1" x14ac:dyDescent="0.35">
      <c r="B11" s="702"/>
      <c r="C11" s="700"/>
      <c r="D11" s="700"/>
      <c r="E11" s="700"/>
      <c r="F11" s="700"/>
      <c r="G11" s="701"/>
      <c r="L11" s="788"/>
    </row>
    <row r="12" spans="1:12" s="789" customFormat="1" ht="27.6" customHeight="1" x14ac:dyDescent="0.35">
      <c r="B12" s="804" t="s">
        <v>453</v>
      </c>
      <c r="C12" s="767" t="s">
        <v>141</v>
      </c>
      <c r="D12" s="775">
        <v>79</v>
      </c>
      <c r="E12" s="775">
        <v>373</v>
      </c>
      <c r="F12" s="775" t="s">
        <v>141</v>
      </c>
      <c r="G12" s="768">
        <v>494.3812112</v>
      </c>
      <c r="L12" s="790"/>
    </row>
    <row r="13" spans="1:12" s="789" customFormat="1" ht="27.6" customHeight="1" x14ac:dyDescent="0.35">
      <c r="B13" s="805" t="s">
        <v>485</v>
      </c>
      <c r="C13" s="769" t="s">
        <v>141</v>
      </c>
      <c r="D13" s="770">
        <v>0</v>
      </c>
      <c r="E13" s="771">
        <v>0</v>
      </c>
      <c r="F13" s="771">
        <v>100</v>
      </c>
      <c r="G13" s="772" t="s">
        <v>141</v>
      </c>
      <c r="L13" s="790"/>
    </row>
    <row r="14" spans="1:12" s="789" customFormat="1" ht="27.6" customHeight="1" x14ac:dyDescent="0.35">
      <c r="B14" s="806" t="s">
        <v>73</v>
      </c>
      <c r="C14" s="764" t="s">
        <v>141</v>
      </c>
      <c r="D14" s="765">
        <f>D12+D13</f>
        <v>79</v>
      </c>
      <c r="E14" s="765">
        <v>373</v>
      </c>
      <c r="F14" s="765">
        <v>100</v>
      </c>
      <c r="G14" s="766">
        <f>G12</f>
        <v>494.3812112</v>
      </c>
      <c r="L14" s="790"/>
    </row>
    <row r="15" spans="1:12" s="789" customFormat="1" ht="27.6" customHeight="1" x14ac:dyDescent="0.35">
      <c r="B15" s="806" t="s">
        <v>454</v>
      </c>
      <c r="C15" s="776">
        <v>788.06500000000005</v>
      </c>
      <c r="D15" s="776">
        <v>1065.87443773</v>
      </c>
      <c r="E15" s="1120">
        <v>1070.1099999999999</v>
      </c>
      <c r="F15" s="1120"/>
      <c r="G15" s="766" t="s">
        <v>141</v>
      </c>
      <c r="L15" s="790"/>
    </row>
    <row r="16" spans="1:12" s="789" customFormat="1" ht="27.6" customHeight="1" x14ac:dyDescent="0.35">
      <c r="B16" s="807" t="s">
        <v>455</v>
      </c>
      <c r="C16" s="280">
        <v>1245.122198</v>
      </c>
      <c r="D16" s="280">
        <v>1246.037681</v>
      </c>
      <c r="E16" s="280">
        <v>1247.5754119999999</v>
      </c>
      <c r="F16" s="1057">
        <v>1230.028374</v>
      </c>
      <c r="G16" s="738">
        <v>1232.0031019999999</v>
      </c>
      <c r="L16" s="790"/>
    </row>
    <row r="17" spans="2:13" s="789" customFormat="1" ht="27.6" customHeight="1" x14ac:dyDescent="0.35">
      <c r="B17" s="806" t="s">
        <v>466</v>
      </c>
      <c r="C17" s="776">
        <v>4001.1751136000003</v>
      </c>
      <c r="D17" s="776">
        <v>4813.9138085499999</v>
      </c>
      <c r="E17" s="773">
        <v>7354.6600056859997</v>
      </c>
      <c r="F17" s="765">
        <v>8397</v>
      </c>
      <c r="G17" s="766">
        <f>'Other information'!L42</f>
        <v>11232.341118463999</v>
      </c>
      <c r="L17" s="791"/>
    </row>
    <row r="18" spans="2:13" s="789" customFormat="1" ht="27.6" customHeight="1" x14ac:dyDescent="0.35">
      <c r="B18" s="808" t="s">
        <v>467</v>
      </c>
      <c r="C18" s="767" t="s">
        <v>141</v>
      </c>
      <c r="D18" s="777">
        <f>D14/C15</f>
        <v>0.10024553812185542</v>
      </c>
      <c r="E18" s="777">
        <f>E14/D15</f>
        <v>0.3499474110612697</v>
      </c>
      <c r="F18" s="1058">
        <v>0.1</v>
      </c>
      <c r="G18" s="810">
        <f>G14/E15</f>
        <v>0.46199102073618603</v>
      </c>
      <c r="L18" s="790"/>
    </row>
    <row r="19" spans="2:13" s="789" customFormat="1" ht="27.6" customHeight="1" x14ac:dyDescent="0.35">
      <c r="B19" s="804" t="s">
        <v>468</v>
      </c>
      <c r="C19" s="767" t="s">
        <v>141</v>
      </c>
      <c r="D19" s="797">
        <f>D14/C16</f>
        <v>6.3447587816597581E-2</v>
      </c>
      <c r="E19" s="797">
        <f>E14/D16</f>
        <v>0.29934889264396169</v>
      </c>
      <c r="F19" s="907" t="s">
        <v>141</v>
      </c>
      <c r="G19" s="1055">
        <f>G14/F16</f>
        <v>0.40192667230292689</v>
      </c>
      <c r="L19" s="790"/>
      <c r="M19" s="792"/>
    </row>
    <row r="20" spans="2:13" s="789" customFormat="1" ht="27.6" customHeight="1" x14ac:dyDescent="0.35">
      <c r="B20" s="809" t="s">
        <v>469</v>
      </c>
      <c r="C20" s="774" t="s">
        <v>141</v>
      </c>
      <c r="D20" s="778">
        <f>D14/C17</f>
        <v>1.9744199580637917E-2</v>
      </c>
      <c r="E20" s="778">
        <f>E14/D17</f>
        <v>7.7483730460132905E-2</v>
      </c>
      <c r="F20" s="1059" t="s">
        <v>141</v>
      </c>
      <c r="G20" s="1056">
        <f>G14/F17</f>
        <v>5.8875933214243184E-2</v>
      </c>
      <c r="L20" s="790"/>
    </row>
    <row r="21" spans="2:13" s="486" customFormat="1" ht="11.25" customHeight="1" x14ac:dyDescent="0.35">
      <c r="B21" s="531"/>
      <c r="C21" s="512"/>
      <c r="D21" s="512"/>
      <c r="E21" s="576"/>
      <c r="F21" s="512"/>
      <c r="G21" s="512"/>
    </row>
    <row r="22" spans="2:13" s="486" customFormat="1" ht="25.15" customHeight="1" x14ac:dyDescent="0.35">
      <c r="B22" s="1119" t="s">
        <v>674</v>
      </c>
      <c r="C22" s="1119"/>
      <c r="D22" s="1119"/>
      <c r="E22" s="1119"/>
      <c r="F22" s="1119"/>
      <c r="G22" s="1119"/>
      <c r="H22" s="578"/>
    </row>
    <row r="23" spans="2:13" s="486" customFormat="1" ht="16.149999999999999" customHeight="1" x14ac:dyDescent="0.35">
      <c r="B23" s="1092"/>
      <c r="C23" s="1093"/>
      <c r="D23" s="1093"/>
      <c r="E23" s="1093"/>
      <c r="F23" s="1093"/>
      <c r="G23" s="1093"/>
      <c r="H23" s="1093"/>
    </row>
    <row r="24" spans="2:13" s="486" customFormat="1" ht="48" customHeight="1" x14ac:dyDescent="0.35">
      <c r="B24" s="1092" t="s">
        <v>594</v>
      </c>
      <c r="C24" s="1092"/>
      <c r="D24" s="1092"/>
      <c r="E24" s="1092"/>
      <c r="F24" s="1092"/>
      <c r="G24" s="1092"/>
      <c r="H24" s="578"/>
    </row>
    <row r="25" spans="2:13" s="486" customFormat="1" ht="25.15" customHeight="1" x14ac:dyDescent="0.35">
      <c r="B25" s="1092" t="s">
        <v>470</v>
      </c>
      <c r="C25" s="1092"/>
      <c r="D25" s="1092"/>
      <c r="E25" s="1092"/>
      <c r="F25" s="1092"/>
      <c r="G25" s="1092"/>
      <c r="H25" s="578"/>
    </row>
    <row r="26" spans="2:13" s="486" customFormat="1" ht="25.15" customHeight="1" x14ac:dyDescent="0.35">
      <c r="B26" s="1092" t="s">
        <v>493</v>
      </c>
      <c r="C26" s="1092"/>
      <c r="D26" s="1092"/>
      <c r="E26" s="1092"/>
      <c r="F26" s="1092"/>
      <c r="G26" s="1092"/>
      <c r="H26" s="578"/>
    </row>
    <row r="27" spans="2:13" s="486" customFormat="1" ht="25.15" customHeight="1" x14ac:dyDescent="0.35">
      <c r="B27" s="1092" t="s">
        <v>506</v>
      </c>
      <c r="C27" s="1092"/>
      <c r="D27" s="1092"/>
      <c r="E27" s="1092"/>
      <c r="F27" s="1092"/>
      <c r="G27" s="1092"/>
      <c r="H27" s="578"/>
    </row>
    <row r="28" spans="2:13" s="486" customFormat="1" ht="25.15" customHeight="1" x14ac:dyDescent="0.35">
      <c r="B28" s="1092" t="s">
        <v>471</v>
      </c>
      <c r="C28" s="1092"/>
      <c r="D28" s="1092"/>
      <c r="E28" s="1092"/>
      <c r="F28" s="1092"/>
      <c r="G28" s="1092"/>
      <c r="H28" s="578"/>
    </row>
    <row r="29" spans="2:13" s="123" customFormat="1" ht="22.5" customHeight="1" x14ac:dyDescent="0.2">
      <c r="B29" s="1113"/>
      <c r="C29" s="1113"/>
      <c r="D29" s="1113"/>
      <c r="E29" s="1113"/>
      <c r="F29" s="1113"/>
      <c r="G29" s="1113"/>
    </row>
    <row r="32" spans="2:13" ht="15" customHeight="1" x14ac:dyDescent="0.2">
      <c r="C32" s="793"/>
      <c r="D32" s="793"/>
      <c r="E32" s="794"/>
      <c r="F32" s="793"/>
      <c r="G32" s="793"/>
    </row>
  </sheetData>
  <mergeCells count="11">
    <mergeCell ref="B5:G5"/>
    <mergeCell ref="B23:H23"/>
    <mergeCell ref="B29:G29"/>
    <mergeCell ref="B24:G24"/>
    <mergeCell ref="B8:G8"/>
    <mergeCell ref="B25:G25"/>
    <mergeCell ref="B26:G26"/>
    <mergeCell ref="B27:G27"/>
    <mergeCell ref="B28:G28"/>
    <mergeCell ref="B22:G22"/>
    <mergeCell ref="E15:F15"/>
  </mergeCells>
  <hyperlinks>
    <hyperlink ref="G2" location="'Cover '!A1" display="Back to Cover" xr:uid="{90007F92-653B-46BD-BE79-1EED5BA21710}"/>
  </hyperlinks>
  <printOptions horizontalCentered="1" verticalCentered="1"/>
  <pageMargins left="0" right="0" top="0" bottom="0" header="0" footer="0"/>
  <pageSetup paperSize="8"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1B58-C1E7-4C06-8A5D-C3CBCFF29E3B}">
  <sheetPr codeName="Foglio12">
    <pageSetUpPr fitToPage="1"/>
  </sheetPr>
  <dimension ref="A1:O28"/>
  <sheetViews>
    <sheetView showGridLines="0" view="pageBreakPreview" zoomScale="90" zoomScaleNormal="85" zoomScaleSheetLayoutView="90" workbookViewId="0">
      <selection activeCell="L28" sqref="L28"/>
    </sheetView>
  </sheetViews>
  <sheetFormatPr defaultColWidth="9.140625" defaultRowHeight="15" customHeight="1" x14ac:dyDescent="0.2"/>
  <cols>
    <col min="1" max="1" width="2.42578125" style="20" customWidth="1"/>
    <col min="2" max="2" width="54.7109375" style="20" customWidth="1"/>
    <col min="3" max="4" width="20.140625" style="22" customWidth="1"/>
    <col min="5" max="9" width="20.140625" style="96" customWidth="1"/>
    <col min="10" max="10" width="20.140625" style="22" customWidth="1"/>
    <col min="11" max="11" width="2.42578125" style="20" customWidth="1"/>
    <col min="12" max="12" width="9.140625" style="20"/>
    <col min="13" max="13" width="14.85546875" style="20" bestFit="1" customWidth="1"/>
    <col min="14" max="15" width="9.140625" style="20"/>
    <col min="16" max="16" width="10.42578125" style="20" customWidth="1"/>
    <col min="17" max="16384" width="9.140625" style="20"/>
  </cols>
  <sheetData>
    <row r="1" spans="1:15" s="23" customFormat="1" ht="15.75" customHeight="1" x14ac:dyDescent="0.35">
      <c r="B1" s="481"/>
      <c r="C1" s="481"/>
      <c r="D1" s="481"/>
      <c r="E1" s="570"/>
      <c r="F1" s="570"/>
      <c r="G1" s="570"/>
      <c r="H1" s="570"/>
      <c r="I1" s="570"/>
      <c r="J1" s="481"/>
    </row>
    <row r="2" spans="1:15" s="23" customFormat="1" ht="15.75" customHeight="1" x14ac:dyDescent="0.35">
      <c r="B2" s="481"/>
      <c r="C2" s="506"/>
      <c r="D2" s="506"/>
      <c r="E2" s="571"/>
      <c r="F2" s="571"/>
      <c r="G2" s="571"/>
      <c r="H2" s="571"/>
      <c r="I2" s="571"/>
      <c r="J2" s="482" t="s">
        <v>18</v>
      </c>
    </row>
    <row r="3" spans="1:15" s="23" customFormat="1" ht="15.75" customHeight="1" x14ac:dyDescent="0.35">
      <c r="B3" s="481"/>
      <c r="C3" s="481"/>
      <c r="D3" s="481"/>
      <c r="E3" s="570"/>
      <c r="F3" s="570"/>
      <c r="G3" s="570"/>
      <c r="H3" s="570"/>
      <c r="I3" s="570"/>
      <c r="J3" s="481"/>
    </row>
    <row r="4" spans="1:15" s="24" customFormat="1" ht="15.75" customHeight="1" x14ac:dyDescent="0.3">
      <c r="B4" s="483"/>
      <c r="C4" s="483"/>
      <c r="D4" s="483"/>
      <c r="E4" s="572"/>
      <c r="F4" s="572"/>
      <c r="G4" s="572"/>
      <c r="H4" s="572"/>
      <c r="I4" s="572"/>
      <c r="J4" s="483"/>
    </row>
    <row r="5" spans="1:15" ht="28.5" x14ac:dyDescent="0.2">
      <c r="A5" s="16"/>
      <c r="B5" s="1091" t="s">
        <v>459</v>
      </c>
      <c r="C5" s="1091"/>
      <c r="D5" s="1091"/>
      <c r="E5" s="1091"/>
      <c r="F5" s="1091"/>
      <c r="G5" s="1091"/>
      <c r="H5" s="1091"/>
      <c r="I5" s="1091"/>
      <c r="J5" s="1091"/>
    </row>
    <row r="6" spans="1:15" ht="9" customHeight="1" x14ac:dyDescent="0.2">
      <c r="A6" s="16"/>
      <c r="B6" s="117"/>
      <c r="C6" s="117"/>
      <c r="D6" s="117"/>
      <c r="E6" s="117"/>
      <c r="F6" s="117"/>
      <c r="G6" s="117"/>
      <c r="H6" s="117"/>
      <c r="I6" s="117"/>
      <c r="J6" s="117"/>
    </row>
    <row r="7" spans="1:15" ht="11.25" customHeight="1" x14ac:dyDescent="0.2">
      <c r="A7" s="18"/>
      <c r="B7" s="438"/>
      <c r="C7" s="438"/>
      <c r="D7" s="438"/>
      <c r="E7" s="438"/>
      <c r="F7" s="438"/>
      <c r="G7" s="438"/>
      <c r="H7" s="438"/>
      <c r="I7" s="438"/>
      <c r="J7" s="438"/>
    </row>
    <row r="8" spans="1:15" s="23" customFormat="1" ht="11.25" customHeight="1" x14ac:dyDescent="0.35">
      <c r="B8" s="481"/>
      <c r="C8" s="484"/>
      <c r="D8" s="484"/>
      <c r="E8" s="484"/>
      <c r="F8" s="484"/>
      <c r="G8" s="484"/>
      <c r="H8" s="484"/>
      <c r="I8" s="484"/>
      <c r="J8" s="484"/>
    </row>
    <row r="9" spans="1:15" s="23" customFormat="1" ht="45.75" customHeight="1" x14ac:dyDescent="0.3">
      <c r="B9" s="737"/>
      <c r="C9" s="763" t="s">
        <v>458</v>
      </c>
      <c r="D9" s="763" t="s">
        <v>457</v>
      </c>
      <c r="E9" s="492" t="s">
        <v>456</v>
      </c>
      <c r="F9" s="492" t="s">
        <v>474</v>
      </c>
      <c r="G9" s="492" t="s">
        <v>473</v>
      </c>
      <c r="H9" s="492" t="s">
        <v>524</v>
      </c>
      <c r="I9" s="492" t="s">
        <v>647</v>
      </c>
      <c r="J9" s="492" t="s">
        <v>663</v>
      </c>
      <c r="O9" s="64"/>
    </row>
    <row r="10" spans="1:15" s="23" customFormat="1" ht="24.75" customHeight="1" x14ac:dyDescent="0.25">
      <c r="B10" s="702"/>
      <c r="C10" s="700"/>
      <c r="D10" s="700"/>
      <c r="E10" s="700"/>
      <c r="F10" s="700"/>
      <c r="G10" s="700"/>
      <c r="H10" s="700"/>
      <c r="I10" s="917"/>
      <c r="J10" s="701"/>
      <c r="O10" s="64"/>
    </row>
    <row r="11" spans="1:15" s="25" customFormat="1" ht="34.15" customHeight="1" x14ac:dyDescent="0.25">
      <c r="B11" s="804" t="s">
        <v>490</v>
      </c>
      <c r="C11" s="779">
        <v>4.4000000000000004</v>
      </c>
      <c r="D11" s="779">
        <v>4.5</v>
      </c>
      <c r="E11" s="779">
        <v>4.5</v>
      </c>
      <c r="F11" s="779">
        <v>4.5</v>
      </c>
      <c r="G11" s="779">
        <v>4.5</v>
      </c>
      <c r="H11" s="779">
        <v>4.5</v>
      </c>
      <c r="I11" s="918">
        <v>4.5430000000000001</v>
      </c>
      <c r="J11" s="780">
        <v>4.548</v>
      </c>
      <c r="M11" s="845"/>
      <c r="O11" s="65"/>
    </row>
    <row r="12" spans="1:15" s="25" customFormat="1" ht="34.15" customHeight="1" x14ac:dyDescent="0.25">
      <c r="B12" s="804" t="s">
        <v>477</v>
      </c>
      <c r="C12" s="779">
        <v>4.5</v>
      </c>
      <c r="D12" s="779">
        <v>4.5999999999999996</v>
      </c>
      <c r="E12" s="781">
        <v>4.7</v>
      </c>
      <c r="F12" s="781">
        <v>4.7</v>
      </c>
      <c r="G12" s="811">
        <v>4.7</v>
      </c>
      <c r="H12" s="811">
        <v>4.7</v>
      </c>
      <c r="I12" s="919">
        <v>4.8</v>
      </c>
      <c r="J12" s="782">
        <v>4.8</v>
      </c>
      <c r="M12" s="841"/>
      <c r="N12" s="76"/>
      <c r="O12" s="65"/>
    </row>
    <row r="13" spans="1:15" s="25" customFormat="1" ht="34.15" customHeight="1" x14ac:dyDescent="0.25">
      <c r="B13" s="804" t="s">
        <v>478</v>
      </c>
      <c r="C13" s="779">
        <v>1</v>
      </c>
      <c r="D13" s="781">
        <v>1.1000000000000001</v>
      </c>
      <c r="E13" s="781">
        <v>1.1000000000000001</v>
      </c>
      <c r="F13" s="781">
        <v>1.1000000000000001</v>
      </c>
      <c r="G13" s="811">
        <v>1.3</v>
      </c>
      <c r="H13" s="811">
        <v>1.4</v>
      </c>
      <c r="I13" s="919">
        <v>1.4</v>
      </c>
      <c r="J13" s="782">
        <v>1.4</v>
      </c>
      <c r="O13" s="65"/>
    </row>
    <row r="14" spans="1:15" s="25" customFormat="1" ht="34.15" customHeight="1" x14ac:dyDescent="0.25">
      <c r="B14" s="804" t="s">
        <v>492</v>
      </c>
      <c r="C14" s="779">
        <v>6.3</v>
      </c>
      <c r="D14" s="781">
        <v>6.7</v>
      </c>
      <c r="E14" s="781">
        <v>6.7</v>
      </c>
      <c r="F14" s="781">
        <v>7.2</v>
      </c>
      <c r="G14" s="779">
        <v>7.5</v>
      </c>
      <c r="H14" s="779">
        <v>7.5</v>
      </c>
      <c r="I14" s="918">
        <v>7.6</v>
      </c>
      <c r="J14" s="780">
        <v>7.7</v>
      </c>
      <c r="O14" s="65"/>
    </row>
    <row r="15" spans="1:15" s="25" customFormat="1" ht="34.15" customHeight="1" x14ac:dyDescent="0.25">
      <c r="B15" s="804" t="s">
        <v>491</v>
      </c>
      <c r="C15" s="779">
        <v>2.7606419999999998</v>
      </c>
      <c r="D15" s="779">
        <v>2.9661780000000002</v>
      </c>
      <c r="E15" s="779">
        <v>2.7575029999999998</v>
      </c>
      <c r="F15" s="779">
        <v>2.9218579999999998</v>
      </c>
      <c r="G15" s="779">
        <v>3.0454240000000001</v>
      </c>
      <c r="H15" s="779">
        <v>3.1533030000000002</v>
      </c>
      <c r="I15" s="918">
        <v>2.9536180000000001</v>
      </c>
      <c r="J15" s="780">
        <v>3.1095670000000002</v>
      </c>
      <c r="O15" s="65"/>
    </row>
    <row r="16" spans="1:15" s="25" customFormat="1" ht="34.15" customHeight="1" x14ac:dyDescent="0.25">
      <c r="B16" s="804" t="s">
        <v>487</v>
      </c>
      <c r="C16" s="811" t="s">
        <v>486</v>
      </c>
      <c r="D16" s="811" t="s">
        <v>479</v>
      </c>
      <c r="E16" s="811" t="s">
        <v>479</v>
      </c>
      <c r="F16" s="811" t="s">
        <v>479</v>
      </c>
      <c r="G16" s="779" t="s">
        <v>479</v>
      </c>
      <c r="H16" s="779" t="s">
        <v>479</v>
      </c>
      <c r="I16" s="918" t="s">
        <v>479</v>
      </c>
      <c r="J16" s="780" t="s">
        <v>479</v>
      </c>
      <c r="O16" s="65"/>
    </row>
    <row r="17" spans="2:15" s="25" customFormat="1" ht="34.15" customHeight="1" x14ac:dyDescent="0.25">
      <c r="B17" s="804" t="s">
        <v>472</v>
      </c>
      <c r="C17" s="799">
        <v>810</v>
      </c>
      <c r="D17" s="799">
        <v>910</v>
      </c>
      <c r="E17" s="800">
        <v>1000</v>
      </c>
      <c r="F17" s="800">
        <v>1060</v>
      </c>
      <c r="G17" s="775">
        <v>1065</v>
      </c>
      <c r="H17" s="775">
        <v>1120</v>
      </c>
      <c r="I17" s="920">
        <v>1066</v>
      </c>
      <c r="J17" s="768">
        <v>1049</v>
      </c>
      <c r="O17" s="65"/>
    </row>
    <row r="18" spans="2:15" s="25" customFormat="1" ht="34.15" customHeight="1" x14ac:dyDescent="0.25">
      <c r="B18" s="804" t="s">
        <v>613</v>
      </c>
      <c r="C18" s="799"/>
      <c r="D18" s="799"/>
      <c r="E18" s="800"/>
      <c r="F18" s="800"/>
      <c r="G18" s="775"/>
      <c r="H18" s="775">
        <v>1921.5450000000001</v>
      </c>
      <c r="I18" s="920">
        <v>1946.4010000000001</v>
      </c>
      <c r="J18" s="768">
        <v>1978</v>
      </c>
      <c r="O18" s="65"/>
    </row>
    <row r="19" spans="2:15" s="25" customFormat="1" ht="34.15" customHeight="1" x14ac:dyDescent="0.25">
      <c r="B19" s="809" t="s">
        <v>696</v>
      </c>
      <c r="C19" s="783" t="s">
        <v>141</v>
      </c>
      <c r="D19" s="784" t="s">
        <v>141</v>
      </c>
      <c r="E19" s="784" t="s">
        <v>141</v>
      </c>
      <c r="F19" s="798">
        <v>9</v>
      </c>
      <c r="G19" s="819">
        <v>30</v>
      </c>
      <c r="H19" s="819">
        <v>60</v>
      </c>
      <c r="I19" s="921">
        <v>100</v>
      </c>
      <c r="J19" s="813" t="s">
        <v>697</v>
      </c>
      <c r="O19" s="65"/>
    </row>
    <row r="20" spans="2:15" s="26" customFormat="1" ht="17.45" customHeight="1" x14ac:dyDescent="0.35">
      <c r="B20" s="531"/>
      <c r="C20" s="512"/>
      <c r="D20" s="512"/>
      <c r="E20" s="576"/>
      <c r="F20" s="576"/>
      <c r="G20" s="576"/>
      <c r="H20" s="576"/>
      <c r="I20" s="576"/>
      <c r="J20" s="512"/>
    </row>
    <row r="21" spans="2:15" s="26" customFormat="1" ht="18.75" customHeight="1" x14ac:dyDescent="0.3">
      <c r="B21" s="1092" t="s">
        <v>489</v>
      </c>
      <c r="C21" s="1093"/>
      <c r="D21" s="1093"/>
      <c r="E21" s="1093"/>
      <c r="F21" s="1093"/>
      <c r="G21" s="1093"/>
      <c r="H21" s="1093"/>
      <c r="I21" s="1093"/>
      <c r="J21" s="1093"/>
      <c r="K21" s="1093"/>
    </row>
    <row r="22" spans="2:15" s="26" customFormat="1" ht="18.75" customHeight="1" x14ac:dyDescent="0.3">
      <c r="B22" s="1092" t="s">
        <v>488</v>
      </c>
      <c r="C22" s="1093"/>
      <c r="D22" s="1093"/>
      <c r="E22" s="1093"/>
      <c r="F22" s="1093"/>
      <c r="G22" s="1093"/>
      <c r="H22" s="1093"/>
      <c r="I22" s="1093"/>
      <c r="J22" s="1093"/>
      <c r="K22" s="1093"/>
    </row>
    <row r="23" spans="2:15" s="19" customFormat="1" ht="22.5" customHeight="1" x14ac:dyDescent="0.2">
      <c r="B23" s="1094"/>
      <c r="C23" s="1094"/>
      <c r="D23" s="1094"/>
      <c r="E23" s="1094"/>
      <c r="F23" s="1094"/>
      <c r="G23" s="1094"/>
      <c r="H23" s="1094"/>
      <c r="I23" s="1094"/>
      <c r="J23" s="1094"/>
    </row>
    <row r="26" spans="2:15" ht="15" customHeight="1" x14ac:dyDescent="0.2">
      <c r="C26" s="67"/>
      <c r="D26" s="67"/>
      <c r="E26" s="95"/>
      <c r="F26" s="95"/>
      <c r="G26" s="95"/>
      <c r="H26" s="95"/>
      <c r="I26" s="95"/>
      <c r="J26" s="67"/>
    </row>
    <row r="27" spans="2:15" ht="15" customHeight="1" x14ac:dyDescent="0.2">
      <c r="B27" s="1090"/>
      <c r="C27" s="1090"/>
      <c r="D27" s="1090"/>
      <c r="E27" s="1090"/>
      <c r="F27" s="1090"/>
      <c r="G27" s="1090"/>
      <c r="H27" s="1090"/>
      <c r="I27" s="1090"/>
      <c r="J27" s="1090"/>
    </row>
    <row r="28" spans="2:15" ht="15" customHeight="1" x14ac:dyDescent="0.2">
      <c r="B28" s="1090"/>
      <c r="C28" s="1090"/>
      <c r="D28" s="1090"/>
      <c r="E28" s="1090"/>
      <c r="F28" s="1090"/>
      <c r="G28" s="1090"/>
      <c r="H28" s="1090"/>
      <c r="I28" s="1090"/>
      <c r="J28" s="1090"/>
    </row>
  </sheetData>
  <mergeCells count="6">
    <mergeCell ref="B27:J27"/>
    <mergeCell ref="B28:J28"/>
    <mergeCell ref="B5:J5"/>
    <mergeCell ref="B22:K22"/>
    <mergeCell ref="B23:J23"/>
    <mergeCell ref="B21:K21"/>
  </mergeCells>
  <hyperlinks>
    <hyperlink ref="J2" location="'Cover '!A1" display="Back to Cover" xr:uid="{C6B66B00-2599-4079-97AB-56B29C766F3D}"/>
  </hyperlinks>
  <printOptions horizontalCentered="1" verticalCentered="1"/>
  <pageMargins left="0" right="0" top="0" bottom="0" header="0" footer="0"/>
  <pageSetup paperSize="8" scale="96"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T59"/>
  <sheetViews>
    <sheetView showGridLines="0" view="pageBreakPreview" zoomScale="80" zoomScaleNormal="80" zoomScaleSheetLayoutView="80" workbookViewId="0">
      <pane xSplit="2" ySplit="10" topLeftCell="C11" activePane="bottomRight" state="frozen"/>
      <selection pane="topRight" activeCell="C1" sqref="C1"/>
      <selection pane="bottomLeft" activeCell="A11" sqref="A11"/>
      <selection pane="bottomRight" activeCell="B71" sqref="B71"/>
    </sheetView>
  </sheetViews>
  <sheetFormatPr defaultColWidth="9.140625" defaultRowHeight="12.75" x14ac:dyDescent="0.2"/>
  <cols>
    <col min="1" max="1" width="2.42578125" style="2" customWidth="1"/>
    <col min="2" max="2" width="65.5703125" style="2" customWidth="1"/>
    <col min="3" max="12" width="18.7109375" style="2" customWidth="1"/>
    <col min="13" max="13" width="2.42578125" style="2" customWidth="1"/>
    <col min="14" max="14" width="12.42578125" style="2" bestFit="1" customWidth="1"/>
    <col min="15" max="15" width="9.140625" style="2"/>
    <col min="16" max="16" width="13.5703125" style="2" bestFit="1" customWidth="1"/>
    <col min="17" max="17" width="13.85546875" style="2" customWidth="1"/>
    <col min="18" max="16384" width="9.140625" style="2"/>
  </cols>
  <sheetData>
    <row r="1" spans="1:20" ht="15.75" customHeight="1" x14ac:dyDescent="0.3">
      <c r="B1" s="577"/>
      <c r="C1" s="577"/>
      <c r="D1" s="577"/>
      <c r="E1" s="577"/>
      <c r="F1" s="577"/>
      <c r="G1" s="577"/>
      <c r="H1" s="577"/>
      <c r="I1" s="577"/>
      <c r="J1" s="577"/>
      <c r="K1" s="577"/>
      <c r="L1" s="577"/>
    </row>
    <row r="2" spans="1:20" ht="15.75" customHeight="1" x14ac:dyDescent="0.3">
      <c r="B2" s="577"/>
      <c r="C2" s="113"/>
      <c r="D2" s="113"/>
      <c r="E2" s="113"/>
      <c r="F2" s="113"/>
      <c r="G2" s="113"/>
      <c r="H2" s="113"/>
      <c r="I2" s="113"/>
      <c r="J2" s="113"/>
      <c r="K2" s="113"/>
      <c r="L2" s="112" t="s">
        <v>18</v>
      </c>
    </row>
    <row r="3" spans="1:20" ht="15.75" customHeight="1" x14ac:dyDescent="0.3">
      <c r="B3" s="577"/>
      <c r="C3" s="577"/>
      <c r="D3" s="577"/>
      <c r="E3" s="577"/>
      <c r="F3" s="577"/>
      <c r="G3" s="577"/>
      <c r="H3" s="577"/>
      <c r="I3" s="577"/>
      <c r="J3" s="577"/>
      <c r="K3" s="577"/>
      <c r="L3" s="577"/>
    </row>
    <row r="4" spans="1:20" ht="15.75" customHeight="1" x14ac:dyDescent="0.3">
      <c r="B4" s="577"/>
      <c r="C4" s="577"/>
      <c r="D4" s="577"/>
      <c r="E4" s="577"/>
      <c r="F4" s="577"/>
      <c r="G4" s="577"/>
      <c r="H4" s="577"/>
      <c r="I4" s="577"/>
      <c r="J4" s="577"/>
      <c r="K4" s="577"/>
      <c r="L4" s="577"/>
    </row>
    <row r="5" spans="1:20" ht="28.5" x14ac:dyDescent="0.2">
      <c r="A5" s="16"/>
      <c r="B5" s="1091" t="s">
        <v>15</v>
      </c>
      <c r="C5" s="1091"/>
      <c r="D5" s="1091"/>
      <c r="E5" s="1091"/>
      <c r="F5" s="1091"/>
      <c r="G5" s="1091"/>
      <c r="H5" s="1091"/>
      <c r="I5" s="1091"/>
      <c r="J5" s="1091"/>
      <c r="K5" s="1091"/>
      <c r="L5" s="1091"/>
    </row>
    <row r="6" spans="1:20" s="20" customFormat="1" ht="12" customHeight="1" x14ac:dyDescent="0.2">
      <c r="A6" s="16"/>
      <c r="B6" s="117"/>
      <c r="C6" s="117"/>
      <c r="D6" s="117"/>
      <c r="E6" s="117"/>
      <c r="F6" s="117"/>
      <c r="G6" s="117"/>
      <c r="H6" s="117"/>
      <c r="I6" s="117"/>
      <c r="J6" s="117"/>
      <c r="K6" s="117"/>
      <c r="L6" s="117"/>
    </row>
    <row r="7" spans="1:20" ht="12" customHeight="1" x14ac:dyDescent="0.3">
      <c r="B7" s="577"/>
      <c r="C7" s="118"/>
      <c r="D7" s="118"/>
      <c r="E7" s="118"/>
      <c r="F7" s="118"/>
      <c r="G7" s="118"/>
      <c r="H7" s="118"/>
      <c r="I7" s="118"/>
      <c r="J7" s="118"/>
      <c r="K7" s="118"/>
      <c r="L7" s="118"/>
    </row>
    <row r="8" spans="1:20" ht="12" customHeight="1" x14ac:dyDescent="0.3">
      <c r="B8" s="577"/>
      <c r="C8" s="118"/>
      <c r="D8" s="118"/>
      <c r="E8" s="118"/>
      <c r="F8" s="118"/>
      <c r="G8" s="118"/>
      <c r="H8" s="118"/>
      <c r="I8" s="118"/>
      <c r="J8" s="118"/>
      <c r="K8" s="118"/>
      <c r="L8" s="118"/>
    </row>
    <row r="9" spans="1:20" ht="4.9000000000000004" customHeight="1" x14ac:dyDescent="0.3">
      <c r="B9" s="577"/>
      <c r="C9" s="577"/>
      <c r="D9" s="577"/>
      <c r="E9" s="577"/>
      <c r="F9" s="577"/>
      <c r="G9" s="577"/>
      <c r="H9" s="577"/>
      <c r="I9" s="577"/>
      <c r="J9" s="577"/>
      <c r="K9" s="577"/>
      <c r="L9" s="577"/>
    </row>
    <row r="10" spans="1:20" ht="31.5" customHeight="1" x14ac:dyDescent="0.2">
      <c r="B10" s="587" t="s">
        <v>248</v>
      </c>
      <c r="C10" s="289">
        <v>45382</v>
      </c>
      <c r="D10" s="289">
        <v>45473</v>
      </c>
      <c r="E10" s="289">
        <v>45565</v>
      </c>
      <c r="F10" s="289">
        <v>45657</v>
      </c>
      <c r="G10" s="289">
        <v>45747</v>
      </c>
      <c r="H10" s="289">
        <v>45838</v>
      </c>
      <c r="I10" s="289">
        <v>45930</v>
      </c>
      <c r="J10" s="289">
        <v>46022</v>
      </c>
      <c r="K10" s="305">
        <v>46112</v>
      </c>
      <c r="L10" s="290">
        <v>46203</v>
      </c>
    </row>
    <row r="11" spans="1:20" ht="20.25" customHeight="1" x14ac:dyDescent="0.2">
      <c r="B11" s="253" t="s">
        <v>48</v>
      </c>
      <c r="C11" s="281">
        <v>391</v>
      </c>
      <c r="D11" s="280">
        <v>386</v>
      </c>
      <c r="E11" s="280">
        <v>384</v>
      </c>
      <c r="F11" s="280">
        <v>384</v>
      </c>
      <c r="G11" s="280">
        <v>384</v>
      </c>
      <c r="H11" s="280">
        <v>384</v>
      </c>
      <c r="I11" s="280">
        <v>384</v>
      </c>
      <c r="J11" s="280">
        <v>384</v>
      </c>
      <c r="K11" s="946">
        <v>384</v>
      </c>
      <c r="L11" s="291">
        <v>384</v>
      </c>
    </row>
    <row r="12" spans="1:20" ht="21" customHeight="1" x14ac:dyDescent="0.2">
      <c r="B12" s="620" t="s">
        <v>8</v>
      </c>
      <c r="C12" s="621">
        <v>375</v>
      </c>
      <c r="D12" s="470">
        <v>371</v>
      </c>
      <c r="E12" s="470">
        <v>368</v>
      </c>
      <c r="F12" s="470">
        <v>368</v>
      </c>
      <c r="G12" s="470">
        <v>368</v>
      </c>
      <c r="H12" s="470">
        <v>368</v>
      </c>
      <c r="I12" s="470">
        <v>368</v>
      </c>
      <c r="J12" s="470">
        <v>368</v>
      </c>
      <c r="K12" s="473">
        <v>368</v>
      </c>
      <c r="L12" s="471">
        <v>368</v>
      </c>
    </row>
    <row r="13" spans="1:20" ht="21" customHeight="1" x14ac:dyDescent="0.2">
      <c r="B13" s="619" t="s">
        <v>9</v>
      </c>
      <c r="C13" s="176">
        <v>16</v>
      </c>
      <c r="D13" s="175">
        <v>16</v>
      </c>
      <c r="E13" s="175">
        <v>16</v>
      </c>
      <c r="F13" s="175">
        <v>16</v>
      </c>
      <c r="G13" s="175">
        <v>16</v>
      </c>
      <c r="H13" s="175">
        <v>16</v>
      </c>
      <c r="I13" s="175">
        <v>16</v>
      </c>
      <c r="J13" s="175">
        <v>16</v>
      </c>
      <c r="K13" s="947">
        <v>16</v>
      </c>
      <c r="L13" s="202">
        <v>16</v>
      </c>
    </row>
    <row r="14" spans="1:20" ht="18" customHeight="1" x14ac:dyDescent="0.2">
      <c r="B14" s="618"/>
      <c r="C14" s="579"/>
      <c r="D14" s="605"/>
      <c r="E14" s="605"/>
      <c r="F14" s="605"/>
      <c r="G14" s="605"/>
      <c r="H14" s="605"/>
      <c r="I14" s="605"/>
      <c r="J14" s="605"/>
      <c r="K14" s="948"/>
      <c r="L14" s="606"/>
      <c r="O14" s="54"/>
      <c r="P14" s="56"/>
      <c r="Q14" s="56"/>
      <c r="R14" s="56"/>
      <c r="S14" s="56"/>
      <c r="T14" s="4"/>
    </row>
    <row r="15" spans="1:20" ht="18" customHeight="1" x14ac:dyDescent="0.2">
      <c r="B15" s="617" t="s">
        <v>36</v>
      </c>
      <c r="C15" s="607">
        <v>0</v>
      </c>
      <c r="D15" s="608">
        <v>0</v>
      </c>
      <c r="E15" s="608">
        <v>0</v>
      </c>
      <c r="F15" s="608">
        <v>0</v>
      </c>
      <c r="G15" s="608">
        <v>0</v>
      </c>
      <c r="H15" s="608">
        <v>0</v>
      </c>
      <c r="I15" s="608">
        <v>0</v>
      </c>
      <c r="J15" s="608">
        <v>0</v>
      </c>
      <c r="K15" s="949">
        <v>0</v>
      </c>
      <c r="L15" s="609">
        <v>0</v>
      </c>
      <c r="O15" s="54"/>
      <c r="P15" s="55"/>
      <c r="Q15" s="55"/>
      <c r="R15" s="55"/>
      <c r="S15" s="55"/>
    </row>
    <row r="16" spans="1:20" ht="15" x14ac:dyDescent="0.3">
      <c r="B16" s="578"/>
      <c r="C16" s="578"/>
      <c r="D16" s="578"/>
      <c r="E16" s="578"/>
      <c r="F16" s="578"/>
      <c r="G16" s="578"/>
      <c r="H16" s="578"/>
      <c r="I16" s="578"/>
      <c r="J16" s="578"/>
      <c r="K16" s="578"/>
      <c r="L16" s="578"/>
    </row>
    <row r="17" spans="2:16" ht="15" x14ac:dyDescent="0.3">
      <c r="B17" s="578"/>
      <c r="C17" s="578"/>
      <c r="D17" s="578"/>
      <c r="E17" s="578"/>
      <c r="F17" s="578"/>
      <c r="G17" s="578"/>
      <c r="H17" s="578"/>
      <c r="I17" s="578"/>
      <c r="J17" s="578"/>
      <c r="K17" s="578"/>
      <c r="L17" s="578"/>
    </row>
    <row r="18" spans="2:16" ht="31.5" customHeight="1" x14ac:dyDescent="0.2">
      <c r="B18" s="587" t="s">
        <v>245</v>
      </c>
      <c r="C18" s="289">
        <v>45382</v>
      </c>
      <c r="D18" s="289">
        <v>45473</v>
      </c>
      <c r="E18" s="289">
        <v>45565</v>
      </c>
      <c r="F18" s="289">
        <v>45657</v>
      </c>
      <c r="G18" s="289">
        <v>45747</v>
      </c>
      <c r="H18" s="289">
        <v>45838</v>
      </c>
      <c r="I18" s="289">
        <v>45930</v>
      </c>
      <c r="J18" s="289">
        <v>46022</v>
      </c>
      <c r="K18" s="305">
        <v>46112</v>
      </c>
      <c r="L18" s="290">
        <v>46203</v>
      </c>
    </row>
    <row r="19" spans="2:16" s="4" customFormat="1" ht="21" customHeight="1" x14ac:dyDescent="0.2">
      <c r="B19" s="253" t="s">
        <v>13</v>
      </c>
      <c r="C19" s="281">
        <v>7917.56</v>
      </c>
      <c r="D19" s="280">
        <v>7906.4581790000002</v>
      </c>
      <c r="E19" s="280">
        <v>7912.4197180000001</v>
      </c>
      <c r="F19" s="280">
        <v>7761.4197180000001</v>
      </c>
      <c r="G19" s="280">
        <v>7771.6697180000001</v>
      </c>
      <c r="H19" s="280">
        <v>7753.3697179999999</v>
      </c>
      <c r="I19" s="280">
        <v>7751.4697180000003</v>
      </c>
      <c r="J19" s="280">
        <v>8472.3697179999999</v>
      </c>
      <c r="K19" s="946">
        <v>8499.3953589743596</v>
      </c>
      <c r="L19" s="291">
        <v>8517.8953589743596</v>
      </c>
      <c r="N19" s="82"/>
      <c r="O19" s="82"/>
    </row>
    <row r="20" spans="2:16" ht="21" customHeight="1" x14ac:dyDescent="0.2">
      <c r="B20" s="610" t="s">
        <v>48</v>
      </c>
      <c r="C20" s="611">
        <v>7883.56</v>
      </c>
      <c r="D20" s="612">
        <v>7872.4581790000002</v>
      </c>
      <c r="E20" s="612">
        <v>7878.4197180000001</v>
      </c>
      <c r="F20" s="612">
        <v>7734.4197180000001</v>
      </c>
      <c r="G20" s="612">
        <v>7744.6697180000001</v>
      </c>
      <c r="H20" s="612">
        <v>7726.3697179999999</v>
      </c>
      <c r="I20" s="612">
        <v>7751.4697180000003</v>
      </c>
      <c r="J20" s="612">
        <v>8472.3697179999999</v>
      </c>
      <c r="K20" s="950">
        <v>8499.3953589743596</v>
      </c>
      <c r="L20" s="629">
        <v>8517.8953589743596</v>
      </c>
      <c r="O20" s="63"/>
    </row>
    <row r="21" spans="2:16" ht="21" customHeight="1" x14ac:dyDescent="0.2">
      <c r="B21" s="604" t="s">
        <v>8</v>
      </c>
      <c r="C21" s="281">
        <v>7501.4800000000005</v>
      </c>
      <c r="D21" s="280">
        <v>7489.4750000000004</v>
      </c>
      <c r="E21" s="280">
        <v>7495.4750000000004</v>
      </c>
      <c r="F21" s="280">
        <v>7355.9750000000004</v>
      </c>
      <c r="G21" s="280">
        <v>7367.9750000000004</v>
      </c>
      <c r="H21" s="280">
        <v>7356.9750000000004</v>
      </c>
      <c r="I21" s="280">
        <v>7378.9750000000004</v>
      </c>
      <c r="J21" s="280">
        <v>8099.9750000000004</v>
      </c>
      <c r="K21" s="946">
        <v>8123.4750000000004</v>
      </c>
      <c r="L21" s="291">
        <v>8134.4750000000004</v>
      </c>
      <c r="N21" s="63"/>
      <c r="O21" s="63"/>
    </row>
    <row r="22" spans="2:16" ht="21" customHeight="1" x14ac:dyDescent="0.2">
      <c r="B22" s="263" t="s">
        <v>37</v>
      </c>
      <c r="C22" s="211">
        <v>7204.6</v>
      </c>
      <c r="D22" s="219">
        <v>7181.6</v>
      </c>
      <c r="E22" s="219">
        <v>7184.6</v>
      </c>
      <c r="F22" s="219">
        <v>7022.6</v>
      </c>
      <c r="G22" s="219">
        <v>7021.6</v>
      </c>
      <c r="H22" s="219">
        <v>6990.6</v>
      </c>
      <c r="I22" s="219">
        <v>7002.6</v>
      </c>
      <c r="J22" s="219">
        <v>7007.6</v>
      </c>
      <c r="K22" s="951">
        <v>7027.6</v>
      </c>
      <c r="L22" s="293">
        <v>7027.6</v>
      </c>
      <c r="O22" s="63"/>
    </row>
    <row r="23" spans="2:16" ht="21" customHeight="1" x14ac:dyDescent="0.2">
      <c r="B23" s="263" t="s">
        <v>14</v>
      </c>
      <c r="C23" s="211">
        <v>296.88</v>
      </c>
      <c r="D23" s="219">
        <v>307.875</v>
      </c>
      <c r="E23" s="219">
        <v>310.875</v>
      </c>
      <c r="F23" s="219">
        <v>333.375</v>
      </c>
      <c r="G23" s="219">
        <v>346.375</v>
      </c>
      <c r="H23" s="219">
        <v>366.375</v>
      </c>
      <c r="I23" s="219">
        <v>376.375</v>
      </c>
      <c r="J23" s="219">
        <v>411.375</v>
      </c>
      <c r="K23" s="951">
        <v>409.375</v>
      </c>
      <c r="L23" s="293">
        <v>403.375</v>
      </c>
      <c r="O23" s="63"/>
    </row>
    <row r="24" spans="2:16" ht="21" customHeight="1" x14ac:dyDescent="0.2">
      <c r="B24" s="613" t="s">
        <v>553</v>
      </c>
      <c r="C24" s="614"/>
      <c r="D24" s="615"/>
      <c r="E24" s="615"/>
      <c r="F24" s="615"/>
      <c r="G24" s="615"/>
      <c r="H24" s="615"/>
      <c r="I24" s="615"/>
      <c r="J24" s="615">
        <v>681</v>
      </c>
      <c r="K24" s="952">
        <v>686.5</v>
      </c>
      <c r="L24" s="616">
        <v>703.5</v>
      </c>
      <c r="O24" s="63"/>
    </row>
    <row r="25" spans="2:16" ht="21" customHeight="1" x14ac:dyDescent="0.2">
      <c r="B25" s="604" t="s">
        <v>42</v>
      </c>
      <c r="C25" s="281">
        <v>382.07999999999993</v>
      </c>
      <c r="D25" s="280">
        <v>382.98317899999989</v>
      </c>
      <c r="E25" s="280">
        <v>382.94471799999991</v>
      </c>
      <c r="F25" s="280">
        <v>378.44471799999991</v>
      </c>
      <c r="G25" s="280">
        <v>376.69471799999991</v>
      </c>
      <c r="H25" s="280">
        <v>369.39471799999995</v>
      </c>
      <c r="I25" s="280">
        <v>372.49471799999998</v>
      </c>
      <c r="J25" s="280">
        <v>372.39471799999995</v>
      </c>
      <c r="K25" s="946">
        <v>375.92035897435892</v>
      </c>
      <c r="L25" s="291">
        <v>383.42035897435892</v>
      </c>
      <c r="O25" s="63"/>
      <c r="P25" s="63"/>
    </row>
    <row r="26" spans="2:16" ht="21" customHeight="1" x14ac:dyDescent="0.2">
      <c r="B26" s="295" t="s">
        <v>49</v>
      </c>
      <c r="C26" s="211">
        <v>34</v>
      </c>
      <c r="D26" s="219">
        <v>34</v>
      </c>
      <c r="E26" s="219">
        <v>34</v>
      </c>
      <c r="F26" s="219">
        <v>27</v>
      </c>
      <c r="G26" s="219">
        <v>27</v>
      </c>
      <c r="H26" s="219">
        <v>27</v>
      </c>
      <c r="I26" s="219">
        <v>0</v>
      </c>
      <c r="J26" s="219">
        <v>0</v>
      </c>
      <c r="K26" s="951">
        <v>0</v>
      </c>
      <c r="L26" s="293">
        <v>0</v>
      </c>
      <c r="N26" s="6"/>
      <c r="O26" s="63"/>
    </row>
    <row r="27" spans="2:16" ht="21" customHeight="1" x14ac:dyDescent="0.2">
      <c r="B27" s="590" t="s">
        <v>411</v>
      </c>
      <c r="C27" s="601">
        <v>0</v>
      </c>
      <c r="D27" s="602">
        <v>0</v>
      </c>
      <c r="E27" s="602">
        <v>0</v>
      </c>
      <c r="F27" s="602">
        <v>0</v>
      </c>
      <c r="G27" s="602">
        <v>0</v>
      </c>
      <c r="H27" s="602">
        <v>0</v>
      </c>
      <c r="I27" s="602">
        <v>0</v>
      </c>
      <c r="J27" s="602">
        <v>0</v>
      </c>
      <c r="K27" s="953">
        <v>0</v>
      </c>
      <c r="L27" s="603">
        <v>0</v>
      </c>
    </row>
    <row r="28" spans="2:16" ht="12.75" customHeight="1" x14ac:dyDescent="0.2">
      <c r="B28" s="114"/>
      <c r="C28" s="580"/>
      <c r="D28" s="580"/>
      <c r="E28" s="580"/>
      <c r="F28" s="580"/>
      <c r="G28" s="580"/>
      <c r="H28" s="580"/>
      <c r="I28" s="580"/>
      <c r="J28" s="580"/>
      <c r="K28" s="580"/>
      <c r="L28" s="580"/>
    </row>
    <row r="29" spans="2:16" s="3" customFormat="1" ht="12.75" customHeight="1" x14ac:dyDescent="0.25">
      <c r="B29" s="581"/>
      <c r="C29" s="582"/>
      <c r="D29" s="582"/>
      <c r="E29" s="582"/>
      <c r="F29" s="582"/>
      <c r="G29" s="582"/>
      <c r="H29" s="582"/>
      <c r="I29" s="582"/>
      <c r="J29" s="582"/>
      <c r="K29" s="582"/>
      <c r="L29" s="582"/>
    </row>
    <row r="30" spans="2:16" ht="31.5" customHeight="1" x14ac:dyDescent="0.2">
      <c r="B30" s="587" t="s">
        <v>246</v>
      </c>
      <c r="C30" s="289">
        <v>45382</v>
      </c>
      <c r="D30" s="289">
        <v>45473</v>
      </c>
      <c r="E30" s="289">
        <v>45565</v>
      </c>
      <c r="F30" s="289">
        <v>45657</v>
      </c>
      <c r="G30" s="289">
        <v>45747</v>
      </c>
      <c r="H30" s="289">
        <v>45838</v>
      </c>
      <c r="I30" s="289">
        <v>45930</v>
      </c>
      <c r="J30" s="289">
        <v>46022</v>
      </c>
      <c r="K30" s="305">
        <v>46112</v>
      </c>
      <c r="L30" s="290">
        <v>46203</v>
      </c>
      <c r="N30" s="47"/>
    </row>
    <row r="31" spans="2:16" s="3" customFormat="1" ht="38.25" customHeight="1" x14ac:dyDescent="0.25">
      <c r="B31" s="599" t="s">
        <v>615</v>
      </c>
      <c r="C31" s="211">
        <v>1250367223</v>
      </c>
      <c r="D31" s="219">
        <v>1250367223</v>
      </c>
      <c r="E31" s="219">
        <v>1250367223</v>
      </c>
      <c r="F31" s="219">
        <v>1250367223</v>
      </c>
      <c r="G31" s="219">
        <v>1250367223</v>
      </c>
      <c r="H31" s="219">
        <v>1250367223</v>
      </c>
      <c r="I31" s="219">
        <v>1250367223</v>
      </c>
      <c r="J31" s="219">
        <v>1235953028</v>
      </c>
      <c r="K31" s="951">
        <v>1235953028</v>
      </c>
      <c r="L31" s="293">
        <v>1235953028</v>
      </c>
    </row>
    <row r="32" spans="2:16" s="3" customFormat="1" ht="38.25" customHeight="1" x14ac:dyDescent="0.25">
      <c r="B32" s="599" t="s">
        <v>614</v>
      </c>
      <c r="C32" s="211">
        <v>1245893686</v>
      </c>
      <c r="D32" s="219">
        <v>1245212023</v>
      </c>
      <c r="E32" s="219">
        <v>1246622609</v>
      </c>
      <c r="F32" s="219">
        <v>1246037681</v>
      </c>
      <c r="G32" s="219">
        <v>1247448117</v>
      </c>
      <c r="H32" s="219">
        <v>1247575412</v>
      </c>
      <c r="I32" s="219">
        <v>1247988212.9999998</v>
      </c>
      <c r="J32" s="219">
        <v>1230028374.0999999</v>
      </c>
      <c r="K32" s="951">
        <v>1229472312.0999999</v>
      </c>
      <c r="L32" s="293">
        <v>1232003102.0999999</v>
      </c>
    </row>
    <row r="33" spans="2:17" s="3" customFormat="1" ht="38.25" customHeight="1" x14ac:dyDescent="0.25">
      <c r="B33" s="599" t="s">
        <v>616</v>
      </c>
      <c r="C33" s="211">
        <v>1245490625.968852</v>
      </c>
      <c r="D33" s="219">
        <v>1245564731.0000029</v>
      </c>
      <c r="E33" s="219">
        <v>1245964394.581085</v>
      </c>
      <c r="F33" s="219">
        <v>1246145867.6645174</v>
      </c>
      <c r="G33" s="219">
        <v>1246922860.2666662</v>
      </c>
      <c r="H33" s="219">
        <v>1247341298.1991799</v>
      </c>
      <c r="I33" s="219">
        <v>1247616875.4387136</v>
      </c>
      <c r="J33" s="219">
        <v>1244934504.1685495</v>
      </c>
      <c r="K33" s="951">
        <v>1230612157.3499994</v>
      </c>
      <c r="L33" s="293">
        <v>1230793292.6798346</v>
      </c>
      <c r="N33" s="5"/>
    </row>
    <row r="34" spans="2:17" s="3" customFormat="1" ht="38.25" customHeight="1" x14ac:dyDescent="0.25">
      <c r="B34" s="600" t="s">
        <v>617</v>
      </c>
      <c r="C34" s="601">
        <v>1245490625.968852</v>
      </c>
      <c r="D34" s="602">
        <v>1245564731.0000029</v>
      </c>
      <c r="E34" s="602">
        <v>1245964394.581085</v>
      </c>
      <c r="F34" s="602">
        <v>1246145867.6645174</v>
      </c>
      <c r="G34" s="602">
        <v>1246922860.2666662</v>
      </c>
      <c r="H34" s="602">
        <v>1247341298.1991763</v>
      </c>
      <c r="I34" s="602">
        <v>1247616875.4387136</v>
      </c>
      <c r="J34" s="602">
        <v>1244934504.1685495</v>
      </c>
      <c r="K34" s="953">
        <v>1230612157.3499994</v>
      </c>
      <c r="L34" s="603">
        <v>1230793292.6798346</v>
      </c>
    </row>
    <row r="35" spans="2:17" s="3" customFormat="1" ht="10.5" customHeight="1" x14ac:dyDescent="0.35">
      <c r="B35" s="583"/>
      <c r="C35" s="584"/>
      <c r="D35" s="584"/>
      <c r="E35" s="584"/>
      <c r="F35" s="584"/>
      <c r="G35" s="584"/>
      <c r="H35" s="584"/>
      <c r="I35" s="584"/>
      <c r="J35" s="584"/>
      <c r="K35" s="584"/>
      <c r="L35" s="584"/>
    </row>
    <row r="36" spans="2:17" s="3" customFormat="1" ht="15.75" customHeight="1" x14ac:dyDescent="0.35">
      <c r="B36" s="114" t="s">
        <v>500</v>
      </c>
      <c r="C36" s="584"/>
      <c r="D36" s="584"/>
      <c r="E36" s="584"/>
      <c r="F36" s="584"/>
      <c r="G36" s="584"/>
      <c r="H36" s="584"/>
      <c r="I36" s="584"/>
      <c r="J36" s="584"/>
      <c r="K36" s="584"/>
      <c r="L36" s="584"/>
    </row>
    <row r="37" spans="2:17" s="3" customFormat="1" ht="15.75" customHeight="1" x14ac:dyDescent="0.35">
      <c r="B37" s="114" t="s">
        <v>501</v>
      </c>
      <c r="C37" s="584"/>
      <c r="D37" s="584"/>
      <c r="E37" s="584"/>
      <c r="F37" s="584"/>
      <c r="G37" s="584"/>
      <c r="H37" s="584"/>
      <c r="I37" s="584"/>
      <c r="J37" s="584"/>
      <c r="K37" s="584"/>
      <c r="L37" s="584"/>
    </row>
    <row r="38" spans="2:17" s="3" customFormat="1" ht="15.75" customHeight="1" x14ac:dyDescent="0.35">
      <c r="B38" s="114" t="s">
        <v>502</v>
      </c>
      <c r="C38" s="584"/>
      <c r="D38" s="584"/>
      <c r="E38" s="584"/>
      <c r="F38" s="584"/>
      <c r="G38" s="584"/>
      <c r="H38" s="584"/>
      <c r="I38" s="584"/>
      <c r="J38" s="584"/>
      <c r="K38" s="584"/>
      <c r="L38" s="584"/>
    </row>
    <row r="39" spans="2:17" s="3" customFormat="1" ht="15.75" customHeight="1" x14ac:dyDescent="0.35">
      <c r="B39" s="114" t="s">
        <v>503</v>
      </c>
      <c r="C39" s="584"/>
      <c r="D39" s="584"/>
      <c r="E39" s="584"/>
      <c r="F39" s="584"/>
      <c r="G39" s="584"/>
      <c r="H39" s="584"/>
      <c r="I39" s="584"/>
      <c r="J39" s="584"/>
      <c r="K39" s="584"/>
      <c r="L39" s="584"/>
    </row>
    <row r="40" spans="2:17" s="3" customFormat="1" ht="15.75" customHeight="1" x14ac:dyDescent="0.35">
      <c r="B40" s="114"/>
      <c r="C40" s="584"/>
      <c r="D40" s="584"/>
      <c r="E40" s="584"/>
      <c r="F40" s="584"/>
      <c r="G40" s="584"/>
      <c r="H40" s="584"/>
      <c r="I40" s="584"/>
      <c r="J40" s="584"/>
      <c r="K40" s="584"/>
      <c r="L40" s="584"/>
      <c r="Q40" s="79"/>
    </row>
    <row r="41" spans="2:17" ht="31.5" customHeight="1" x14ac:dyDescent="0.25">
      <c r="B41" s="587" t="s">
        <v>247</v>
      </c>
      <c r="C41" s="289">
        <v>45382</v>
      </c>
      <c r="D41" s="289">
        <v>45473</v>
      </c>
      <c r="E41" s="289">
        <v>45565</v>
      </c>
      <c r="F41" s="289">
        <v>45657</v>
      </c>
      <c r="G41" s="289">
        <v>45747</v>
      </c>
      <c r="H41" s="289">
        <v>45838</v>
      </c>
      <c r="I41" s="289">
        <v>45930</v>
      </c>
      <c r="J41" s="289">
        <v>46022</v>
      </c>
      <c r="K41" s="305">
        <v>46112</v>
      </c>
      <c r="L41" s="290">
        <v>46203</v>
      </c>
      <c r="P41" s="92"/>
      <c r="Q41" s="78"/>
    </row>
    <row r="42" spans="2:17" s="3" customFormat="1" ht="24" customHeight="1" x14ac:dyDescent="0.25">
      <c r="B42" s="317" t="s">
        <v>126</v>
      </c>
      <c r="C42" s="211">
        <v>4846.4233563479993</v>
      </c>
      <c r="D42" s="219">
        <v>4258.750761538</v>
      </c>
      <c r="E42" s="219">
        <v>4783.9049951979996</v>
      </c>
      <c r="F42" s="219">
        <v>4813.9138085499999</v>
      </c>
      <c r="G42" s="219">
        <v>6311.8537417040006</v>
      </c>
      <c r="H42" s="219">
        <v>7354.6600056859997</v>
      </c>
      <c r="I42" s="219">
        <v>9020.1491467220003</v>
      </c>
      <c r="J42" s="219">
        <v>8397.0648722320002</v>
      </c>
      <c r="K42" s="951">
        <v>8634.3678536080006</v>
      </c>
      <c r="L42" s="293">
        <v>11232.341118463999</v>
      </c>
    </row>
    <row r="43" spans="2:17" s="3" customFormat="1" ht="24" customHeight="1" x14ac:dyDescent="0.25">
      <c r="B43" s="317" t="s">
        <v>80</v>
      </c>
      <c r="C43" s="585">
        <v>5.2886711555258668</v>
      </c>
      <c r="D43" s="593">
        <v>5.4465728524370345</v>
      </c>
      <c r="E43" s="593">
        <v>5.6890063850029211</v>
      </c>
      <c r="F43" s="593">
        <v>5.7785186674463018</v>
      </c>
      <c r="G43" s="593">
        <v>6.0130412622202858</v>
      </c>
      <c r="H43" s="593">
        <v>5.8978454762941421</v>
      </c>
      <c r="I43" s="593">
        <v>6.0901389749584114</v>
      </c>
      <c r="J43" s="593">
        <v>5.9165952215668165</v>
      </c>
      <c r="K43" s="954">
        <v>6.1061366951710587</v>
      </c>
      <c r="L43" s="594">
        <v>6.296183010746998</v>
      </c>
      <c r="N43" s="753"/>
      <c r="Q43" s="80"/>
    </row>
    <row r="44" spans="2:17" s="3" customFormat="1" ht="24" customHeight="1" x14ac:dyDescent="0.25">
      <c r="B44" s="317" t="s">
        <v>79</v>
      </c>
      <c r="C44" s="585">
        <f t="shared" ref="C44:D44" si="0">(C42/(C32/1000000))/C43</f>
        <v>0.73551883791922479</v>
      </c>
      <c r="D44" s="593">
        <f t="shared" si="0"/>
        <v>0.62793631765351865</v>
      </c>
      <c r="E44" s="593">
        <f t="shared" ref="E44:I44" si="1">(E42/(E32/1000000))/E43</f>
        <v>0.67454530839687354</v>
      </c>
      <c r="F44" s="593">
        <f t="shared" si="1"/>
        <v>0.66857573992549146</v>
      </c>
      <c r="G44" s="593">
        <f t="shared" si="1"/>
        <v>0.84147312692287157</v>
      </c>
      <c r="H44" s="593">
        <f t="shared" si="1"/>
        <v>0.99954512216229197</v>
      </c>
      <c r="I44" s="593">
        <f t="shared" si="1"/>
        <v>1.1867958851031539</v>
      </c>
      <c r="J44" s="593">
        <f>(J42/(J32/1000000))/J43</f>
        <v>1.1538265290864995</v>
      </c>
      <c r="K44" s="954">
        <f>(K42/(K32/1000000))/K43</f>
        <v>1.1501256043637531</v>
      </c>
      <c r="L44" s="594">
        <f>(L42/(L32/1000000))/L43</f>
        <v>1.4480419369644262</v>
      </c>
    </row>
    <row r="45" spans="2:17" s="3" customFormat="1" ht="24" customHeight="1" x14ac:dyDescent="0.25">
      <c r="B45" s="317" t="s">
        <v>112</v>
      </c>
      <c r="C45" s="585">
        <v>0.17658569304283314</v>
      </c>
      <c r="D45" s="593">
        <v>0.25448035687654136</v>
      </c>
      <c r="E45" s="593">
        <v>0.24488039565950157</v>
      </c>
      <c r="F45" s="593">
        <v>0.13740515444331888</v>
      </c>
      <c r="G45" s="593">
        <v>0.21692124611223412</v>
      </c>
      <c r="H45" s="593">
        <v>0.21031273739146128</v>
      </c>
      <c r="I45" s="593">
        <v>0.1929681686825355</v>
      </c>
      <c r="J45" s="593">
        <v>0.18681434191776453</v>
      </c>
      <c r="K45" s="954">
        <v>0.21426085742547404</v>
      </c>
      <c r="L45" s="594">
        <v>0.25801379171365102</v>
      </c>
    </row>
    <row r="46" spans="2:17" s="3" customFormat="1" ht="24" customHeight="1" x14ac:dyDescent="0.25">
      <c r="B46" s="317" t="s">
        <v>125</v>
      </c>
      <c r="C46" s="585">
        <v>0.23594955898572548</v>
      </c>
      <c r="D46" s="593">
        <v>0.23467390454597309</v>
      </c>
      <c r="E46" s="593">
        <v>0.22723242184515857</v>
      </c>
      <c r="F46" s="593">
        <v>0.21962588745371969</v>
      </c>
      <c r="G46" s="593">
        <v>0.20987886905439931</v>
      </c>
      <c r="H46" s="593">
        <v>0.18502528807452975</v>
      </c>
      <c r="I46" s="593">
        <v>0.19650345848258424</v>
      </c>
      <c r="J46" s="593">
        <v>0.22222601713379728</v>
      </c>
      <c r="K46" s="954">
        <v>0.24424770352209441</v>
      </c>
      <c r="L46" s="594">
        <v>0.23865919353017992</v>
      </c>
    </row>
    <row r="47" spans="2:17" s="3" customFormat="1" ht="24" customHeight="1" x14ac:dyDescent="0.25">
      <c r="B47" s="317" t="s">
        <v>133</v>
      </c>
      <c r="C47" s="585">
        <v>0.21364749556552445</v>
      </c>
      <c r="D47" s="593">
        <v>0.25011304233528114</v>
      </c>
      <c r="E47" s="593">
        <v>0.24592670002666389</v>
      </c>
      <c r="F47" s="593">
        <v>0.25910703698085025</v>
      </c>
      <c r="G47" s="593">
        <v>0.21692124611223412</v>
      </c>
      <c r="H47" s="593">
        <v>0.22340212649205377</v>
      </c>
      <c r="I47" s="593">
        <v>0.20719105942389221</v>
      </c>
      <c r="J47" s="593">
        <v>0.25406263818802671</v>
      </c>
      <c r="K47" s="954">
        <v>0.21888072559538857</v>
      </c>
      <c r="L47" s="594">
        <v>0.26147157521523834</v>
      </c>
    </row>
    <row r="48" spans="2:17" s="3" customFormat="1" ht="24" customHeight="1" x14ac:dyDescent="0.25">
      <c r="B48" s="595" t="s">
        <v>132</v>
      </c>
      <c r="C48" s="596">
        <v>4.3378989923250026</v>
      </c>
      <c r="D48" s="597">
        <v>3.1967497083661662</v>
      </c>
      <c r="E48" s="597">
        <v>3.740900320923481</v>
      </c>
      <c r="F48" s="597">
        <v>3.5819715971171733</v>
      </c>
      <c r="G48" s="597">
        <v>5.5616338309759872</v>
      </c>
      <c r="H48" s="597">
        <v>6.3003364952284828</v>
      </c>
      <c r="I48" s="597">
        <v>8.0986230294472552</v>
      </c>
      <c r="J48" s="597">
        <v>6.3059158735434115</v>
      </c>
      <c r="K48" s="955">
        <v>7.51889471000979</v>
      </c>
      <c r="L48" s="598">
        <v>8.256281785913588</v>
      </c>
    </row>
    <row r="49" spans="2:12" s="3" customFormat="1" ht="9.75" customHeight="1" x14ac:dyDescent="0.35">
      <c r="B49" s="114"/>
      <c r="C49" s="584"/>
      <c r="D49" s="584"/>
      <c r="E49" s="584"/>
      <c r="F49" s="584"/>
      <c r="G49" s="584"/>
      <c r="H49" s="584"/>
      <c r="I49" s="584"/>
      <c r="J49" s="584"/>
      <c r="K49" s="584"/>
      <c r="L49" s="584"/>
    </row>
    <row r="50" spans="2:12" s="3" customFormat="1" ht="15.75" customHeight="1" x14ac:dyDescent="0.35">
      <c r="B50" s="114" t="s">
        <v>386</v>
      </c>
      <c r="C50" s="584"/>
      <c r="D50" s="584"/>
      <c r="E50" s="584"/>
      <c r="F50" s="584"/>
      <c r="G50" s="584"/>
      <c r="H50" s="584"/>
      <c r="I50" s="584"/>
      <c r="J50" s="584"/>
      <c r="K50" s="584"/>
      <c r="L50" s="584"/>
    </row>
    <row r="51" spans="2:12" s="3" customFormat="1" ht="13.5" customHeight="1" x14ac:dyDescent="0.35">
      <c r="B51" s="581"/>
      <c r="C51" s="584"/>
      <c r="D51" s="584"/>
      <c r="E51" s="584"/>
      <c r="F51" s="584"/>
      <c r="G51" s="584"/>
      <c r="H51" s="584"/>
      <c r="I51" s="584"/>
      <c r="J51" s="584"/>
      <c r="K51" s="584"/>
      <c r="L51" s="584"/>
    </row>
    <row r="52" spans="2:12" ht="31.5" customHeight="1" x14ac:dyDescent="0.2">
      <c r="B52" s="587" t="s">
        <v>244</v>
      </c>
      <c r="C52" s="289">
        <v>45382</v>
      </c>
      <c r="D52" s="289">
        <v>45473</v>
      </c>
      <c r="E52" s="289">
        <v>45565</v>
      </c>
      <c r="F52" s="289">
        <v>45657</v>
      </c>
      <c r="G52" s="289">
        <v>45747</v>
      </c>
      <c r="H52" s="289">
        <v>45838</v>
      </c>
      <c r="I52" s="289">
        <v>45930</v>
      </c>
      <c r="J52" s="289">
        <v>46022</v>
      </c>
      <c r="K52" s="305">
        <v>46112</v>
      </c>
      <c r="L52" s="290">
        <v>46203</v>
      </c>
    </row>
    <row r="53" spans="2:12" s="6" customFormat="1" ht="48" customHeight="1" x14ac:dyDescent="0.2">
      <c r="B53" s="295" t="s">
        <v>504</v>
      </c>
      <c r="C53" s="586" t="s">
        <v>154</v>
      </c>
      <c r="D53" s="588" t="s">
        <v>154</v>
      </c>
      <c r="E53" s="588" t="s">
        <v>380</v>
      </c>
      <c r="F53" s="588" t="s">
        <v>380</v>
      </c>
      <c r="G53" s="588" t="s">
        <v>416</v>
      </c>
      <c r="H53" s="588" t="s">
        <v>416</v>
      </c>
      <c r="I53" s="588" t="s">
        <v>416</v>
      </c>
      <c r="J53" s="588" t="s">
        <v>416</v>
      </c>
      <c r="K53" s="956" t="s">
        <v>416</v>
      </c>
      <c r="L53" s="589" t="s">
        <v>416</v>
      </c>
    </row>
    <row r="54" spans="2:12" s="6" customFormat="1" ht="48" customHeight="1" x14ac:dyDescent="0.2">
      <c r="B54" s="295" t="s">
        <v>668</v>
      </c>
      <c r="C54" s="586" t="s">
        <v>252</v>
      </c>
      <c r="D54" s="588" t="s">
        <v>252</v>
      </c>
      <c r="E54" s="588" t="s">
        <v>381</v>
      </c>
      <c r="F54" s="588" t="s">
        <v>381</v>
      </c>
      <c r="G54" s="588" t="s">
        <v>415</v>
      </c>
      <c r="H54" s="588" t="s">
        <v>415</v>
      </c>
      <c r="I54" s="588" t="s">
        <v>415</v>
      </c>
      <c r="J54" s="588" t="s">
        <v>415</v>
      </c>
      <c r="K54" s="956" t="s">
        <v>414</v>
      </c>
      <c r="L54" s="589" t="s">
        <v>414</v>
      </c>
    </row>
    <row r="55" spans="2:12" s="6" customFormat="1" ht="48" customHeight="1" x14ac:dyDescent="0.2">
      <c r="B55" s="590" t="s">
        <v>669</v>
      </c>
      <c r="C55" s="591" t="s">
        <v>252</v>
      </c>
      <c r="D55" s="592" t="s">
        <v>252</v>
      </c>
      <c r="E55" s="592" t="s">
        <v>381</v>
      </c>
      <c r="F55" s="592" t="s">
        <v>381</v>
      </c>
      <c r="G55" s="592" t="s">
        <v>414</v>
      </c>
      <c r="H55" s="592" t="s">
        <v>414</v>
      </c>
      <c r="I55" s="592" t="s">
        <v>414</v>
      </c>
      <c r="J55" s="592" t="s">
        <v>556</v>
      </c>
      <c r="K55" s="957" t="s">
        <v>556</v>
      </c>
      <c r="L55" s="695" t="s">
        <v>556</v>
      </c>
    </row>
    <row r="56" spans="2:12" ht="15" x14ac:dyDescent="0.3">
      <c r="B56" s="578"/>
      <c r="C56" s="578"/>
      <c r="D56" s="578"/>
      <c r="E56" s="578"/>
      <c r="F56" s="578"/>
      <c r="G56" s="578"/>
      <c r="H56" s="578"/>
      <c r="I56" s="578"/>
      <c r="J56" s="578"/>
      <c r="K56" s="578"/>
      <c r="L56" s="578"/>
    </row>
    <row r="57" spans="2:12" ht="17.25" customHeight="1" x14ac:dyDescent="0.2">
      <c r="B57" s="828" t="s">
        <v>557</v>
      </c>
      <c r="C57" s="828"/>
      <c r="D57" s="1121"/>
      <c r="E57" s="1121"/>
      <c r="F57" s="1121"/>
      <c r="G57" s="1121"/>
      <c r="H57" s="1121"/>
      <c r="I57" s="1121"/>
      <c r="J57" s="828"/>
      <c r="K57" s="828"/>
      <c r="L57" s="828"/>
    </row>
    <row r="58" spans="2:12" ht="17.25" customHeight="1" x14ac:dyDescent="0.2">
      <c r="B58" s="1121" t="s">
        <v>693</v>
      </c>
      <c r="C58" s="1121"/>
      <c r="D58" s="312"/>
      <c r="E58" s="312"/>
      <c r="F58" s="312"/>
      <c r="G58" s="312"/>
      <c r="H58" s="312"/>
      <c r="I58" s="312"/>
      <c r="J58" s="312"/>
      <c r="K58" s="312"/>
      <c r="L58" s="312"/>
    </row>
    <row r="59" spans="2:12" ht="17.25" customHeight="1" x14ac:dyDescent="0.2">
      <c r="B59" s="828" t="s">
        <v>694</v>
      </c>
    </row>
  </sheetData>
  <mergeCells count="5">
    <mergeCell ref="B5:L5"/>
    <mergeCell ref="D57:E57"/>
    <mergeCell ref="F57:G57"/>
    <mergeCell ref="H57:I57"/>
    <mergeCell ref="B58:C58"/>
  </mergeCells>
  <hyperlinks>
    <hyperlink ref="L2" location="'Cover '!A1" display="Back to Cover" xr:uid="{00000000-0004-0000-0800-000000000000}"/>
  </hyperlinks>
  <printOptions horizontalCentered="1" verticalCentered="1"/>
  <pageMargins left="0" right="0" top="0" bottom="0" header="0" footer="0"/>
  <pageSetup paperSize="8" scale="5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CD6B2-46D9-4700-A5A0-5E211DA7B7DC}">
  <sheetPr codeName="Sheet5">
    <pageSetUpPr fitToPage="1"/>
  </sheetPr>
  <dimension ref="A1:Z78"/>
  <sheetViews>
    <sheetView showGridLines="0" view="pageBreakPreview" zoomScale="80" zoomScaleNormal="90" zoomScaleSheetLayoutView="80" workbookViewId="0">
      <pane xSplit="2" ySplit="9" topLeftCell="C10" activePane="bottomRight" state="frozen"/>
      <selection pane="topRight" activeCell="C1" sqref="C1"/>
      <selection pane="bottomLeft" activeCell="A10" sqref="A10"/>
      <selection pane="bottomRight" activeCell="L53" sqref="L53"/>
    </sheetView>
  </sheetViews>
  <sheetFormatPr defaultColWidth="9.140625" defaultRowHeight="12.75" x14ac:dyDescent="0.2"/>
  <cols>
    <col min="1" max="1" width="2.42578125" style="10" customWidth="1"/>
    <col min="2" max="2" width="80.7109375" style="10" customWidth="1"/>
    <col min="3" max="5" width="14.42578125" style="10" customWidth="1"/>
    <col min="6" max="6" width="15.42578125" style="10" bestFit="1" customWidth="1"/>
    <col min="7" max="8" width="14.42578125" style="10" customWidth="1"/>
    <col min="9" max="13" width="17.28515625" style="10" customWidth="1"/>
    <col min="14" max="14" width="15" style="10" customWidth="1"/>
    <col min="15" max="15" width="3.5703125" style="10" customWidth="1"/>
    <col min="16" max="17" width="9.140625" style="10"/>
    <col min="18" max="18" width="19" style="10" bestFit="1" customWidth="1"/>
    <col min="19" max="16384" width="9.140625" style="10"/>
  </cols>
  <sheetData>
    <row r="1" spans="1:26" s="6" customFormat="1" ht="15.75" customHeight="1" x14ac:dyDescent="0.2">
      <c r="B1" s="10"/>
      <c r="C1" s="10"/>
      <c r="D1" s="10"/>
      <c r="E1" s="10"/>
      <c r="F1" s="10"/>
      <c r="G1" s="10"/>
      <c r="H1" s="10"/>
      <c r="I1" s="10"/>
      <c r="J1" s="10"/>
      <c r="K1" s="10"/>
      <c r="L1" s="10"/>
      <c r="M1" s="10"/>
      <c r="N1" s="10"/>
    </row>
    <row r="2" spans="1:26" s="6" customFormat="1" ht="15.75" customHeight="1" x14ac:dyDescent="0.2">
      <c r="B2" s="10"/>
      <c r="D2" s="110"/>
      <c r="E2" s="110"/>
      <c r="F2" s="110"/>
      <c r="G2" s="110"/>
      <c r="H2" s="110"/>
      <c r="I2" s="110"/>
      <c r="J2" s="110"/>
      <c r="K2" s="110"/>
      <c r="L2" s="110"/>
      <c r="M2" s="110"/>
      <c r="N2" s="112" t="s">
        <v>18</v>
      </c>
    </row>
    <row r="3" spans="1:26" s="6" customFormat="1" ht="15.75" customHeight="1" x14ac:dyDescent="0.2">
      <c r="B3" s="10"/>
      <c r="C3" s="8"/>
      <c r="D3" s="113"/>
      <c r="E3" s="113"/>
      <c r="F3" s="113"/>
      <c r="G3" s="113"/>
      <c r="H3" s="113"/>
      <c r="I3" s="113"/>
      <c r="J3" s="113"/>
      <c r="K3" s="113"/>
      <c r="L3" s="113"/>
      <c r="M3" s="113"/>
      <c r="N3" s="113"/>
    </row>
    <row r="4" spans="1:26" ht="15.75" customHeight="1" x14ac:dyDescent="0.2"/>
    <row r="5" spans="1:26" s="17" customFormat="1" ht="28.5" x14ac:dyDescent="0.2">
      <c r="A5" s="16"/>
      <c r="B5" s="1091" t="s">
        <v>134</v>
      </c>
      <c r="C5" s="1091"/>
      <c r="D5" s="1091"/>
      <c r="E5" s="1091"/>
      <c r="F5" s="1091"/>
      <c r="G5" s="1091"/>
      <c r="H5" s="1091"/>
      <c r="I5" s="1091"/>
      <c r="J5" s="1091"/>
      <c r="K5" s="1091"/>
      <c r="L5" s="1091"/>
      <c r="M5" s="1091"/>
      <c r="N5" s="1091"/>
    </row>
    <row r="6" spans="1:26" s="17" customFormat="1" ht="9" customHeight="1" x14ac:dyDescent="0.2">
      <c r="A6" s="16"/>
      <c r="B6" s="18"/>
      <c r="C6" s="18"/>
      <c r="D6" s="18"/>
      <c r="E6" s="18"/>
      <c r="F6" s="18"/>
      <c r="G6" s="18"/>
      <c r="H6" s="18"/>
      <c r="I6" s="18"/>
      <c r="J6" s="18"/>
      <c r="K6" s="18"/>
      <c r="L6" s="18"/>
      <c r="M6" s="18"/>
      <c r="N6" s="18"/>
    </row>
    <row r="7" spans="1:26" s="6" customFormat="1" ht="9" customHeight="1" x14ac:dyDescent="0.2">
      <c r="B7" s="10"/>
      <c r="C7" s="32"/>
      <c r="D7" s="32"/>
      <c r="E7" s="32"/>
      <c r="F7" s="32"/>
      <c r="G7" s="32"/>
      <c r="H7" s="32"/>
      <c r="I7" s="32"/>
      <c r="J7" s="32"/>
      <c r="K7" s="32"/>
      <c r="L7" s="32"/>
      <c r="M7" s="32"/>
      <c r="N7" s="32"/>
    </row>
    <row r="8" spans="1:26" s="6" customFormat="1" ht="18" customHeight="1" x14ac:dyDescent="0.2">
      <c r="B8" s="138" t="s">
        <v>0</v>
      </c>
      <c r="C8" s="91"/>
      <c r="D8" s="91"/>
      <c r="E8" s="91"/>
      <c r="F8" s="91"/>
      <c r="G8" s="91"/>
      <c r="H8" s="91"/>
      <c r="I8" s="91"/>
      <c r="J8" s="91"/>
      <c r="K8" s="91"/>
      <c r="L8" s="91"/>
      <c r="M8" s="91"/>
      <c r="N8" s="91"/>
    </row>
    <row r="9" spans="1:26" s="9" customFormat="1" ht="31.15" customHeight="1" x14ac:dyDescent="0.2">
      <c r="B9" s="139" t="s">
        <v>251</v>
      </c>
      <c r="C9" s="140" t="s">
        <v>256</v>
      </c>
      <c r="D9" s="140" t="s">
        <v>336</v>
      </c>
      <c r="E9" s="140" t="s">
        <v>371</v>
      </c>
      <c r="F9" s="140" t="s">
        <v>388</v>
      </c>
      <c r="G9" s="140" t="s">
        <v>413</v>
      </c>
      <c r="H9" s="140" t="s">
        <v>420</v>
      </c>
      <c r="I9" s="140" t="s">
        <v>460</v>
      </c>
      <c r="J9" s="140" t="s">
        <v>512</v>
      </c>
      <c r="K9" s="140" t="s">
        <v>645</v>
      </c>
      <c r="L9" s="140" t="s">
        <v>665</v>
      </c>
      <c r="M9" s="140" t="s">
        <v>421</v>
      </c>
      <c r="N9" s="178" t="s">
        <v>667</v>
      </c>
    </row>
    <row r="10" spans="1:26" s="9" customFormat="1" ht="24" customHeight="1" x14ac:dyDescent="0.2">
      <c r="B10" s="216" t="s">
        <v>1</v>
      </c>
      <c r="C10" s="208">
        <v>517.62899999999991</v>
      </c>
      <c r="D10" s="669">
        <v>527.55799999999999</v>
      </c>
      <c r="E10" s="669">
        <v>529.50533123000014</v>
      </c>
      <c r="F10" s="669">
        <v>513.51499999999999</v>
      </c>
      <c r="G10" s="669">
        <v>480.952</v>
      </c>
      <c r="H10" s="669">
        <v>473.56599999999997</v>
      </c>
      <c r="I10" s="669">
        <v>471.23099999999999</v>
      </c>
      <c r="J10" s="669">
        <v>476.851</v>
      </c>
      <c r="K10" s="669">
        <v>481.29699999999997</v>
      </c>
      <c r="L10" s="987">
        <v>508.68299999999994</v>
      </c>
      <c r="M10" s="669">
        <v>954.51800000000003</v>
      </c>
      <c r="N10" s="224">
        <v>989.9799999999999</v>
      </c>
      <c r="Q10" s="39"/>
      <c r="R10" s="39"/>
    </row>
    <row r="11" spans="1:26" s="9" customFormat="1" ht="24" customHeight="1" x14ac:dyDescent="0.2">
      <c r="B11" s="141" t="s">
        <v>599</v>
      </c>
      <c r="C11" s="208">
        <v>145.32</v>
      </c>
      <c r="D11" s="208">
        <v>167.289108</v>
      </c>
      <c r="E11" s="669">
        <v>155.89676098999999</v>
      </c>
      <c r="F11" s="669">
        <v>167.35399999999998</v>
      </c>
      <c r="G11" s="669">
        <v>159.72299999999998</v>
      </c>
      <c r="H11" s="669">
        <v>165.53200000000001</v>
      </c>
      <c r="I11" s="669">
        <v>163.86399999999998</v>
      </c>
      <c r="J11" s="669">
        <v>206.49499399999999</v>
      </c>
      <c r="K11" s="669">
        <v>210.34699700000002</v>
      </c>
      <c r="L11" s="987">
        <v>251.17207500000001</v>
      </c>
      <c r="M11" s="669">
        <v>325.255</v>
      </c>
      <c r="N11" s="224">
        <v>461.51907200000005</v>
      </c>
      <c r="Q11" s="39"/>
      <c r="R11" s="39"/>
    </row>
    <row r="12" spans="1:26" s="9" customFormat="1" ht="24" customHeight="1" x14ac:dyDescent="0.2">
      <c r="B12" s="217" t="s">
        <v>135</v>
      </c>
      <c r="C12" s="208">
        <v>-192.82569612</v>
      </c>
      <c r="D12" s="208">
        <v>-198.9605905</v>
      </c>
      <c r="E12" s="669">
        <v>-205.76782789999999</v>
      </c>
      <c r="F12" s="669">
        <v>-225.18730776000001</v>
      </c>
      <c r="G12" s="669">
        <v>-221.57400000000001</v>
      </c>
      <c r="H12" s="669">
        <v>-208.048</v>
      </c>
      <c r="I12" s="669">
        <v>-206.43</v>
      </c>
      <c r="J12" s="669">
        <v>-234.30717874999999</v>
      </c>
      <c r="K12" s="669">
        <v>-246.048</v>
      </c>
      <c r="L12" s="987">
        <v>-244.31600000000003</v>
      </c>
      <c r="M12" s="669">
        <v>-429.62200000000001</v>
      </c>
      <c r="N12" s="224">
        <v>-490.36400000000003</v>
      </c>
      <c r="Q12" s="39"/>
      <c r="R12" s="39"/>
    </row>
    <row r="13" spans="1:26" s="9" customFormat="1" ht="24" customHeight="1" x14ac:dyDescent="0.2">
      <c r="B13" s="307" t="s">
        <v>174</v>
      </c>
      <c r="C13" s="209">
        <v>-91.264696119999996</v>
      </c>
      <c r="D13" s="209">
        <v>-96.511590500000011</v>
      </c>
      <c r="E13" s="714">
        <v>-99.817747249999996</v>
      </c>
      <c r="F13" s="714">
        <v>-113.06530776</v>
      </c>
      <c r="G13" s="746">
        <v>-99.093000000000004</v>
      </c>
      <c r="H13" s="746">
        <v>-103.46299999999999</v>
      </c>
      <c r="I13" s="746">
        <v>-99.442999999999998</v>
      </c>
      <c r="J13" s="746">
        <v>-125.33517875000001</v>
      </c>
      <c r="K13" s="746">
        <v>-108.682</v>
      </c>
      <c r="L13" s="988">
        <v>-125.53400000000001</v>
      </c>
      <c r="M13" s="746">
        <v>-202.55599999999998</v>
      </c>
      <c r="N13" s="899">
        <v>-234.21600000000001</v>
      </c>
      <c r="Q13" s="39"/>
      <c r="R13" s="39"/>
    </row>
    <row r="14" spans="1:26" s="9" customFormat="1" ht="24" customHeight="1" x14ac:dyDescent="0.2">
      <c r="B14" s="307" t="s">
        <v>156</v>
      </c>
      <c r="C14" s="209">
        <v>-72.945999999999998</v>
      </c>
      <c r="D14" s="209">
        <v>-73.254999999999995</v>
      </c>
      <c r="E14" s="714">
        <v>-75.398843909999997</v>
      </c>
      <c r="F14" s="714">
        <v>-81.564000000000007</v>
      </c>
      <c r="G14" s="714">
        <v>-91.33</v>
      </c>
      <c r="H14" s="714">
        <v>-72.232000000000014</v>
      </c>
      <c r="I14" s="714">
        <v>-73.61</v>
      </c>
      <c r="J14" s="714">
        <v>-74.294999999999987</v>
      </c>
      <c r="K14" s="996">
        <v>-103.693</v>
      </c>
      <c r="L14" s="989">
        <v>-83.835000000000008</v>
      </c>
      <c r="M14" s="996">
        <v>-169.762</v>
      </c>
      <c r="N14" s="926">
        <v>-187.52800000000002</v>
      </c>
      <c r="Q14" s="39"/>
      <c r="R14" s="39"/>
    </row>
    <row r="15" spans="1:26" s="9" customFormat="1" ht="24" customHeight="1" x14ac:dyDescent="0.2">
      <c r="B15" s="307" t="s">
        <v>175</v>
      </c>
      <c r="C15" s="209">
        <v>-28.614999999999998</v>
      </c>
      <c r="D15" s="209">
        <v>-29.193999999999999</v>
      </c>
      <c r="E15" s="714">
        <v>-30.551236739999993</v>
      </c>
      <c r="F15" s="714">
        <v>-30.558</v>
      </c>
      <c r="G15" s="747">
        <v>-31.151</v>
      </c>
      <c r="H15" s="747">
        <v>-32.353000000000002</v>
      </c>
      <c r="I15" s="747">
        <v>-33.377000000000002</v>
      </c>
      <c r="J15" s="747">
        <v>-34.677</v>
      </c>
      <c r="K15" s="747">
        <v>-33.673000000000002</v>
      </c>
      <c r="L15" s="990">
        <v>-34.947000000000003</v>
      </c>
      <c r="M15" s="747">
        <v>-63.504000000000005</v>
      </c>
      <c r="N15" s="226">
        <v>-68.62</v>
      </c>
      <c r="Q15" s="39"/>
      <c r="R15" s="39"/>
      <c r="V15" s="935"/>
      <c r="X15" s="935"/>
      <c r="Z15" s="94"/>
    </row>
    <row r="16" spans="1:26" s="9" customFormat="1" ht="24" customHeight="1" x14ac:dyDescent="0.2">
      <c r="B16" s="217" t="s">
        <v>600</v>
      </c>
      <c r="C16" s="208">
        <v>-15.423</v>
      </c>
      <c r="D16" s="208">
        <v>-19.857999999999997</v>
      </c>
      <c r="E16" s="669">
        <v>-31.755784480000003</v>
      </c>
      <c r="F16" s="669">
        <v>-15.779000000000012</v>
      </c>
      <c r="G16" s="210">
        <v>-14.051887050000003</v>
      </c>
      <c r="H16" s="210">
        <v>-49.821267639999995</v>
      </c>
      <c r="I16" s="210">
        <v>-50.864216650000003</v>
      </c>
      <c r="J16" s="210">
        <v>-33.110071969999993</v>
      </c>
      <c r="K16" s="210">
        <v>-20.627000000000002</v>
      </c>
      <c r="L16" s="991">
        <v>-49.667000000000002</v>
      </c>
      <c r="M16" s="210">
        <v>-63.87315469</v>
      </c>
      <c r="N16" s="900">
        <v>-70.294000000000011</v>
      </c>
      <c r="Q16" s="39"/>
      <c r="R16" s="39"/>
      <c r="V16" s="935"/>
      <c r="X16" s="935"/>
    </row>
    <row r="17" spans="2:24" s="9" customFormat="1" ht="24" customHeight="1" x14ac:dyDescent="0.2">
      <c r="B17" s="217" t="s">
        <v>258</v>
      </c>
      <c r="C17" s="208">
        <v>-20.556513000000002</v>
      </c>
      <c r="D17" s="208">
        <v>-14.782999999999999</v>
      </c>
      <c r="E17" s="669">
        <v>-11.299293</v>
      </c>
      <c r="F17" s="669">
        <v>-15.120611999999999</v>
      </c>
      <c r="G17" s="669">
        <v>-11.106499999999999</v>
      </c>
      <c r="H17" s="669">
        <v>-10.156400000000001</v>
      </c>
      <c r="I17" s="669">
        <v>-8.3701893700000021</v>
      </c>
      <c r="J17" s="669">
        <v>-12.67141382</v>
      </c>
      <c r="K17" s="669">
        <v>-5.7240234900000004</v>
      </c>
      <c r="L17" s="987">
        <v>-6.7850090000000005</v>
      </c>
      <c r="M17" s="669">
        <v>-21.262900000000002</v>
      </c>
      <c r="N17" s="224">
        <v>-12.509032490000001</v>
      </c>
      <c r="Q17" s="39"/>
      <c r="R17" s="39"/>
      <c r="V17" s="935"/>
      <c r="X17" s="935"/>
    </row>
    <row r="18" spans="2:24" s="9" customFormat="1" ht="24" customHeight="1" x14ac:dyDescent="0.2">
      <c r="B18" s="217" t="s">
        <v>257</v>
      </c>
      <c r="C18" s="208">
        <v>-10.354487000000001</v>
      </c>
      <c r="D18" s="208">
        <v>-8.6199999999999992</v>
      </c>
      <c r="E18" s="669">
        <v>-8.6597069999999992</v>
      </c>
      <c r="F18" s="669">
        <v>-9.9543879999999998</v>
      </c>
      <c r="G18" s="210">
        <v>-9.6455000000000002</v>
      </c>
      <c r="H18" s="210">
        <v>-9.0335999999999999</v>
      </c>
      <c r="I18" s="210">
        <v>-7.9828106300000004</v>
      </c>
      <c r="J18" s="210">
        <v>-8.47658618</v>
      </c>
      <c r="K18" s="210">
        <v>-9.4049765099999991</v>
      </c>
      <c r="L18" s="991">
        <v>-8.7659909999999996</v>
      </c>
      <c r="M18" s="210">
        <v>-18.679099999999998</v>
      </c>
      <c r="N18" s="900">
        <v>-18.170967509999997</v>
      </c>
      <c r="Q18" s="39"/>
      <c r="R18" s="39"/>
      <c r="V18" s="935"/>
      <c r="X18" s="935"/>
    </row>
    <row r="19" spans="2:24" s="9" customFormat="1" ht="24" customHeight="1" x14ac:dyDescent="0.2">
      <c r="B19" s="141" t="s">
        <v>626</v>
      </c>
      <c r="C19" s="208">
        <v>-28.539000000000001</v>
      </c>
      <c r="D19" s="208">
        <v>-15.302</v>
      </c>
      <c r="E19" s="669">
        <v>-12.436441019999997</v>
      </c>
      <c r="F19" s="669">
        <v>-22.956999999999994</v>
      </c>
      <c r="G19" s="669">
        <v>-2.9323449999999998</v>
      </c>
      <c r="H19" s="669">
        <v>-2.355731</v>
      </c>
      <c r="I19" s="669">
        <v>-7.8067329999999941</v>
      </c>
      <c r="J19" s="669">
        <v>-18.475208720000005</v>
      </c>
      <c r="K19" s="669">
        <v>1.3460000000000001</v>
      </c>
      <c r="L19" s="987">
        <v>-5.8969999999999985</v>
      </c>
      <c r="M19" s="669">
        <v>-5.2880760000000002</v>
      </c>
      <c r="N19" s="224">
        <v>-4.5509999999999984</v>
      </c>
      <c r="Q19" s="39"/>
      <c r="R19" s="39"/>
    </row>
    <row r="20" spans="2:24" s="9" customFormat="1" ht="24" customHeight="1" x14ac:dyDescent="0.2">
      <c r="B20" s="217" t="s">
        <v>176</v>
      </c>
      <c r="C20" s="208">
        <v>22.515000000000001</v>
      </c>
      <c r="D20" s="669">
        <v>-12.048</v>
      </c>
      <c r="E20" s="210">
        <v>-4.3310000000000004</v>
      </c>
      <c r="F20" s="669">
        <v>-1.2849999999999999</v>
      </c>
      <c r="G20" s="669">
        <v>-5.407</v>
      </c>
      <c r="H20" s="669">
        <v>-10.372</v>
      </c>
      <c r="I20" s="669">
        <v>15.792999999999999</v>
      </c>
      <c r="J20" s="669">
        <v>-24.640283495801697</v>
      </c>
      <c r="K20" s="669">
        <v>1.143</v>
      </c>
      <c r="L20" s="987">
        <v>-14.624000000000001</v>
      </c>
      <c r="M20" s="669">
        <v>-15.779</v>
      </c>
      <c r="N20" s="224">
        <v>-13.481</v>
      </c>
      <c r="Q20" s="39"/>
      <c r="R20" s="39"/>
    </row>
    <row r="21" spans="2:24" s="9" customFormat="1" ht="24" customHeight="1" x14ac:dyDescent="0.2">
      <c r="B21" s="720" t="s">
        <v>419</v>
      </c>
      <c r="C21" s="718">
        <f t="shared" ref="C21:H21" si="0">SUM(C10:C12)+SUM(C16:C20)</f>
        <v>417.76530387999986</v>
      </c>
      <c r="D21" s="718">
        <f t="shared" si="0"/>
        <v>425.27551749999998</v>
      </c>
      <c r="E21" s="718">
        <f t="shared" si="0"/>
        <v>411.15203882000014</v>
      </c>
      <c r="F21" s="718">
        <f t="shared" si="0"/>
        <v>390.5856922399999</v>
      </c>
      <c r="G21" s="743">
        <f>SUM(G10:G12)+SUM(G16:G20)</f>
        <v>375.95776794999995</v>
      </c>
      <c r="H21" s="743">
        <f t="shared" si="0"/>
        <v>349.31100135999998</v>
      </c>
      <c r="I21" s="718">
        <f t="shared" ref="I21:N21" si="1">SUM(I10:I12)+SUM(I16:I20)</f>
        <v>369.43405035000001</v>
      </c>
      <c r="J21" s="743">
        <f t="shared" si="1"/>
        <v>351.66525106419834</v>
      </c>
      <c r="K21" s="743">
        <f t="shared" si="1"/>
        <v>412.32899700000002</v>
      </c>
      <c r="L21" s="743">
        <f t="shared" si="1"/>
        <v>429.80007499999988</v>
      </c>
      <c r="M21" s="743">
        <f t="shared" si="1"/>
        <v>725.26876931000004</v>
      </c>
      <c r="N21" s="725">
        <f t="shared" si="1"/>
        <v>842.12907200000006</v>
      </c>
      <c r="Q21" s="39"/>
      <c r="R21" s="39"/>
    </row>
    <row r="22" spans="2:24" s="9" customFormat="1" ht="24" customHeight="1" x14ac:dyDescent="0.2">
      <c r="B22" s="216" t="s">
        <v>121</v>
      </c>
      <c r="C22" s="208">
        <v>-91.998000000000005</v>
      </c>
      <c r="D22" s="669">
        <v>-120.983</v>
      </c>
      <c r="E22" s="669">
        <v>-114.39580782999995</v>
      </c>
      <c r="F22" s="669">
        <v>-42.829000000000001</v>
      </c>
      <c r="G22" s="669">
        <v>-100.398</v>
      </c>
      <c r="H22" s="669">
        <v>-96.962000000000003</v>
      </c>
      <c r="I22" s="210">
        <v>-91.867999999999995</v>
      </c>
      <c r="J22" s="669">
        <v>-26.966000000000001</v>
      </c>
      <c r="K22" s="669">
        <v>-95.150999999999996</v>
      </c>
      <c r="L22" s="987">
        <v>-115.236</v>
      </c>
      <c r="M22" s="669">
        <v>-197.36</v>
      </c>
      <c r="N22" s="224">
        <v>-210.387</v>
      </c>
      <c r="Q22" s="39"/>
      <c r="R22" s="39"/>
    </row>
    <row r="23" spans="2:24" s="9" customFormat="1" ht="24" customHeight="1" x14ac:dyDescent="0.2">
      <c r="B23" s="216" t="s">
        <v>150</v>
      </c>
      <c r="C23" s="208">
        <v>-110.8582381252</v>
      </c>
      <c r="D23" s="208">
        <v>-118.76175007500001</v>
      </c>
      <c r="E23" s="715">
        <v>-114.92856914999996</v>
      </c>
      <c r="F23" s="715">
        <v>-104.7685607496</v>
      </c>
      <c r="G23" s="669">
        <v>-101.06696270549999</v>
      </c>
      <c r="H23" s="669">
        <v>-104.6011803944</v>
      </c>
      <c r="I23" s="669">
        <v>-101.18629460149999</v>
      </c>
      <c r="J23" s="669">
        <v>-60.751944548617502</v>
      </c>
      <c r="K23" s="669">
        <v>-97.470999999999989</v>
      </c>
      <c r="L23" s="987">
        <v>-116.976</v>
      </c>
      <c r="M23" s="669">
        <v>-205.66814309989999</v>
      </c>
      <c r="N23" s="224">
        <v>-214.447</v>
      </c>
      <c r="P23" s="39"/>
      <c r="Q23" s="39"/>
      <c r="R23" s="39"/>
    </row>
    <row r="24" spans="2:24" s="9" customFormat="1" ht="24" customHeight="1" x14ac:dyDescent="0.2">
      <c r="B24" s="141" t="s">
        <v>131</v>
      </c>
      <c r="C24" s="211">
        <v>0.186</v>
      </c>
      <c r="D24" s="219">
        <v>-1.17</v>
      </c>
      <c r="E24" s="219">
        <v>0.1746048999999999</v>
      </c>
      <c r="F24" s="219">
        <v>0.97</v>
      </c>
      <c r="G24" s="219">
        <v>1.6850000000000001</v>
      </c>
      <c r="H24" s="717">
        <v>1.621</v>
      </c>
      <c r="I24" s="717">
        <v>1.925</v>
      </c>
      <c r="J24" s="219">
        <v>2.831</v>
      </c>
      <c r="K24" s="219">
        <v>3.419</v>
      </c>
      <c r="L24" s="992">
        <v>-0.81399999999999995</v>
      </c>
      <c r="M24" s="219">
        <v>3.306</v>
      </c>
      <c r="N24" s="227">
        <v>2.605</v>
      </c>
      <c r="Q24" s="39"/>
      <c r="R24" s="39"/>
    </row>
    <row r="25" spans="2:24" s="9" customFormat="1" ht="24" customHeight="1" x14ac:dyDescent="0.2">
      <c r="B25" s="720" t="s">
        <v>177</v>
      </c>
      <c r="C25" s="718">
        <f t="shared" ref="C25:F25" si="2">C21+C23+C24</f>
        <v>307.09306575479985</v>
      </c>
      <c r="D25" s="718">
        <f t="shared" si="2"/>
        <v>305.34376742499995</v>
      </c>
      <c r="E25" s="718">
        <f t="shared" si="2"/>
        <v>296.39807457000023</v>
      </c>
      <c r="F25" s="718">
        <f t="shared" si="2"/>
        <v>286.78713149039993</v>
      </c>
      <c r="G25" s="718">
        <f t="shared" ref="G25:N25" si="3">G21+G23+G24</f>
        <v>276.57580524449997</v>
      </c>
      <c r="H25" s="718">
        <f t="shared" si="3"/>
        <v>246.3308209656</v>
      </c>
      <c r="I25" s="718">
        <f t="shared" si="3"/>
        <v>270.17275574850004</v>
      </c>
      <c r="J25" s="718">
        <f t="shared" si="3"/>
        <v>293.74430651558089</v>
      </c>
      <c r="K25" s="718">
        <f t="shared" si="3"/>
        <v>318.27699699999999</v>
      </c>
      <c r="L25" s="718">
        <f t="shared" si="3"/>
        <v>312.01007499999986</v>
      </c>
      <c r="M25" s="718">
        <f t="shared" si="3"/>
        <v>522.90662621010006</v>
      </c>
      <c r="N25" s="901">
        <f t="shared" si="3"/>
        <v>630.28707200000008</v>
      </c>
      <c r="Q25" s="39"/>
      <c r="R25" s="39"/>
    </row>
    <row r="26" spans="2:24" s="9" customFormat="1" ht="14.25" customHeight="1" x14ac:dyDescent="0.2">
      <c r="B26" s="220"/>
      <c r="C26" s="199"/>
      <c r="D26" s="199"/>
      <c r="E26" s="199"/>
      <c r="F26" s="199"/>
      <c r="G26" s="199"/>
      <c r="H26" s="199"/>
      <c r="I26" s="199"/>
      <c r="J26" s="199"/>
      <c r="K26" s="199"/>
      <c r="L26" s="199"/>
      <c r="M26" s="199"/>
      <c r="N26" s="221"/>
      <c r="Q26" s="39"/>
      <c r="R26" s="39"/>
    </row>
    <row r="27" spans="2:24" s="9" customFormat="1" ht="24" customHeight="1" x14ac:dyDescent="0.2">
      <c r="B27" s="238" t="s">
        <v>242</v>
      </c>
      <c r="C27" s="239">
        <v>-13.125</v>
      </c>
      <c r="D27" s="239">
        <v>-13.125</v>
      </c>
      <c r="E27" s="239">
        <v>-13.125</v>
      </c>
      <c r="F27" s="239">
        <v>-13.125</v>
      </c>
      <c r="G27" s="239">
        <v>-13.125</v>
      </c>
      <c r="H27" s="239">
        <v>-13.125</v>
      </c>
      <c r="I27" s="239">
        <v>-19.875</v>
      </c>
      <c r="J27" s="239">
        <v>-20.399999999999999</v>
      </c>
      <c r="K27" s="239">
        <v>-17.981208250000002</v>
      </c>
      <c r="L27" s="239">
        <v>-17.981208250000002</v>
      </c>
      <c r="M27" s="239">
        <f>G27+H27</f>
        <v>-26.25</v>
      </c>
      <c r="N27" s="240">
        <f>K27+L27</f>
        <v>-35.962416500000003</v>
      </c>
      <c r="P27" s="40"/>
      <c r="Q27" s="39"/>
      <c r="R27" s="39"/>
    </row>
    <row r="28" spans="2:24" s="9" customFormat="1" ht="24" customHeight="1" x14ac:dyDescent="0.2">
      <c r="B28" s="228" t="s">
        <v>243</v>
      </c>
      <c r="C28" s="229">
        <f t="shared" ref="C28:I28" si="4">C25+C27</f>
        <v>293.96806575479985</v>
      </c>
      <c r="D28" s="229">
        <f t="shared" si="4"/>
        <v>292.21876742499995</v>
      </c>
      <c r="E28" s="229">
        <f t="shared" si="4"/>
        <v>283.27307457000023</v>
      </c>
      <c r="F28" s="229">
        <f t="shared" si="4"/>
        <v>273.66213149039993</v>
      </c>
      <c r="G28" s="748">
        <f t="shared" si="4"/>
        <v>263.45080524449997</v>
      </c>
      <c r="H28" s="748">
        <f t="shared" si="4"/>
        <v>233.2058209656</v>
      </c>
      <c r="I28" s="748">
        <f t="shared" si="4"/>
        <v>250.29775574850004</v>
      </c>
      <c r="J28" s="748">
        <f t="shared" ref="J28" si="5">J25+J27</f>
        <v>273.34430651558091</v>
      </c>
      <c r="K28" s="748">
        <f t="shared" ref="K28:N28" si="6">K25+K27</f>
        <v>300.29578874999999</v>
      </c>
      <c r="L28" s="748">
        <f t="shared" si="6"/>
        <v>294.02886674999985</v>
      </c>
      <c r="M28" s="748">
        <f t="shared" si="6"/>
        <v>496.65662621010006</v>
      </c>
      <c r="N28" s="719">
        <f t="shared" si="6"/>
        <v>594.32465550000006</v>
      </c>
      <c r="Q28" s="39"/>
      <c r="R28" s="39"/>
    </row>
    <row r="29" spans="2:24" s="9" customFormat="1" ht="24" customHeight="1" x14ac:dyDescent="0.2">
      <c r="B29" s="241" t="s">
        <v>136</v>
      </c>
      <c r="C29" s="242">
        <f t="shared" ref="C29:I29" si="7">C28/C53</f>
        <v>0.23594955898572542</v>
      </c>
      <c r="D29" s="242">
        <f t="shared" si="7"/>
        <v>0.23467390454597301</v>
      </c>
      <c r="E29" s="242">
        <f t="shared" si="7"/>
        <v>0.22723242184515863</v>
      </c>
      <c r="F29" s="242">
        <f t="shared" si="7"/>
        <v>0.21962588745371972</v>
      </c>
      <c r="G29" s="242">
        <f t="shared" si="7"/>
        <v>0.21119179359384932</v>
      </c>
      <c r="H29" s="242">
        <f t="shared" si="7"/>
        <v>0.18692723399521441</v>
      </c>
      <c r="I29" s="242">
        <f t="shared" si="7"/>
        <v>0.20056099339818048</v>
      </c>
      <c r="J29" s="242">
        <f>J28/J53</f>
        <v>0.22222601713379736</v>
      </c>
      <c r="K29" s="242">
        <f>K28/K53</f>
        <v>0.24424770352209446</v>
      </c>
      <c r="L29" s="242">
        <f>L28/L53</f>
        <v>0.23865919353017984</v>
      </c>
      <c r="M29" s="242">
        <f>M28/M53</f>
        <v>0.39809747886414748</v>
      </c>
      <c r="N29" s="902">
        <f>N28/N53</f>
        <v>0.48240516159025071</v>
      </c>
      <c r="Q29" s="39"/>
      <c r="R29" s="39"/>
    </row>
    <row r="30" spans="2:24" s="9" customFormat="1" ht="14.25" customHeight="1" x14ac:dyDescent="0.2">
      <c r="B30" s="220"/>
      <c r="C30" s="199"/>
      <c r="D30" s="199"/>
      <c r="E30" s="199"/>
      <c r="F30" s="199"/>
      <c r="G30" s="199"/>
      <c r="H30" s="199"/>
      <c r="I30" s="199"/>
      <c r="J30" s="199"/>
      <c r="K30" s="199"/>
      <c r="L30" s="199"/>
      <c r="M30" s="199"/>
      <c r="N30" s="221"/>
      <c r="Q30" s="39"/>
      <c r="R30" s="39"/>
    </row>
    <row r="31" spans="2:24" s="9" customFormat="1" ht="24" customHeight="1" x14ac:dyDescent="0.2">
      <c r="B31" s="720" t="s">
        <v>177</v>
      </c>
      <c r="C31" s="718">
        <f t="shared" ref="C31:I31" si="8">C25</f>
        <v>307.09306575479985</v>
      </c>
      <c r="D31" s="718">
        <f t="shared" si="8"/>
        <v>305.34376742499995</v>
      </c>
      <c r="E31" s="718">
        <f t="shared" si="8"/>
        <v>296.39807457000023</v>
      </c>
      <c r="F31" s="718">
        <f t="shared" si="8"/>
        <v>286.78713149039993</v>
      </c>
      <c r="G31" s="718">
        <f>G25</f>
        <v>276.57580524449997</v>
      </c>
      <c r="H31" s="718">
        <f t="shared" si="8"/>
        <v>246.3308209656</v>
      </c>
      <c r="I31" s="718">
        <f t="shared" si="8"/>
        <v>270.17275574850004</v>
      </c>
      <c r="J31" s="718">
        <f>J25</f>
        <v>293.74430651558089</v>
      </c>
      <c r="K31" s="718">
        <f>K25</f>
        <v>318.27699699999999</v>
      </c>
      <c r="L31" s="718">
        <f>L25</f>
        <v>312.01007499999986</v>
      </c>
      <c r="M31" s="718">
        <f>M25</f>
        <v>522.90662621010006</v>
      </c>
      <c r="N31" s="901">
        <f>N25</f>
        <v>630.28707200000008</v>
      </c>
      <c r="Q31" s="39"/>
      <c r="R31" s="39"/>
    </row>
    <row r="32" spans="2:24" s="9" customFormat="1" ht="24" customHeight="1" x14ac:dyDescent="0.2">
      <c r="B32" s="217" t="s">
        <v>627</v>
      </c>
      <c r="C32" s="230">
        <v>-4.4270000000000005</v>
      </c>
      <c r="D32" s="230">
        <v>7.47</v>
      </c>
      <c r="E32" s="715">
        <v>33.253386879999915</v>
      </c>
      <c r="F32" s="715">
        <v>28.351999999999997</v>
      </c>
      <c r="G32" s="715">
        <v>18.872999999999998</v>
      </c>
      <c r="H32" s="715">
        <v>47.170999999999999</v>
      </c>
      <c r="I32" s="715">
        <v>18.641000000000002</v>
      </c>
      <c r="J32" s="715">
        <v>34.754941228987974</v>
      </c>
      <c r="K32" s="715">
        <v>-17.545000000000002</v>
      </c>
      <c r="L32" s="993">
        <v>20.786000000000005</v>
      </c>
      <c r="M32" s="715">
        <v>66.043999999999997</v>
      </c>
      <c r="N32" s="847">
        <v>3.2410000000000032</v>
      </c>
      <c r="Q32" s="39"/>
      <c r="R32" s="39"/>
    </row>
    <row r="33" spans="2:20" s="9" customFormat="1" ht="24" customHeight="1" x14ac:dyDescent="0.2">
      <c r="B33" s="217" t="s">
        <v>628</v>
      </c>
      <c r="C33" s="142">
        <v>-23.358999999999995</v>
      </c>
      <c r="D33" s="143">
        <v>11.755000000000001</v>
      </c>
      <c r="E33" s="143">
        <v>-9.9486770399999891</v>
      </c>
      <c r="F33" s="143">
        <v>20.843</v>
      </c>
      <c r="G33" s="143">
        <v>-10.088000000000001</v>
      </c>
      <c r="H33" s="669">
        <v>0.70700000000000007</v>
      </c>
      <c r="I33" s="669">
        <v>-5.3029999999999999</v>
      </c>
      <c r="J33" s="143">
        <v>4.4050060000000002</v>
      </c>
      <c r="K33" s="143">
        <v>-13.642996999999999</v>
      </c>
      <c r="L33" s="994">
        <v>7.3189250000000001</v>
      </c>
      <c r="M33" s="143">
        <v>-9.3810000000000002</v>
      </c>
      <c r="N33" s="225">
        <v>-6.3240719999999992</v>
      </c>
      <c r="Q33" s="39"/>
      <c r="R33" s="39"/>
    </row>
    <row r="34" spans="2:20" s="9" customFormat="1" ht="24" customHeight="1" x14ac:dyDescent="0.2">
      <c r="B34" s="720" t="s">
        <v>629</v>
      </c>
      <c r="C34" s="718">
        <f t="shared" ref="C34:I34" si="9">C31+C32+C33</f>
        <v>279.30706575479985</v>
      </c>
      <c r="D34" s="718">
        <f t="shared" si="9"/>
        <v>324.56876742499998</v>
      </c>
      <c r="E34" s="718">
        <f t="shared" si="9"/>
        <v>319.70278441000016</v>
      </c>
      <c r="F34" s="718">
        <f t="shared" si="9"/>
        <v>335.98213149039992</v>
      </c>
      <c r="G34" s="718">
        <f>G31+G32+G33</f>
        <v>285.36080524449994</v>
      </c>
      <c r="H34" s="718">
        <f t="shared" si="9"/>
        <v>294.20882096560001</v>
      </c>
      <c r="I34" s="718">
        <f t="shared" si="9"/>
        <v>283.51075574850006</v>
      </c>
      <c r="J34" s="718">
        <f t="shared" ref="J34" si="10">J31+J32+J33</f>
        <v>332.90425374456885</v>
      </c>
      <c r="K34" s="718">
        <f t="shared" ref="K34:N34" si="11">K31+K32+K33</f>
        <v>287.089</v>
      </c>
      <c r="L34" s="718">
        <f t="shared" si="11"/>
        <v>340.11499999999984</v>
      </c>
      <c r="M34" s="718">
        <f t="shared" si="11"/>
        <v>579.56962621010007</v>
      </c>
      <c r="N34" s="901">
        <f t="shared" si="11"/>
        <v>627.20400000000006</v>
      </c>
      <c r="Q34" s="39"/>
      <c r="R34" s="39"/>
    </row>
    <row r="35" spans="2:20" s="9" customFormat="1" ht="14.25" customHeight="1" x14ac:dyDescent="0.2">
      <c r="B35" s="220"/>
      <c r="C35" s="199"/>
      <c r="D35" s="199"/>
      <c r="E35" s="199"/>
      <c r="F35" s="199"/>
      <c r="G35" s="199"/>
      <c r="H35" s="199"/>
      <c r="I35" s="199"/>
      <c r="J35" s="199"/>
      <c r="K35" s="199"/>
      <c r="L35" s="199"/>
      <c r="M35" s="199"/>
      <c r="N35" s="221"/>
      <c r="Q35" s="39"/>
      <c r="R35" s="39"/>
    </row>
    <row r="36" spans="2:20" s="9" customFormat="1" ht="24" customHeight="1" x14ac:dyDescent="0.2">
      <c r="B36" s="238" t="s">
        <v>178</v>
      </c>
      <c r="C36" s="239">
        <v>-13.125</v>
      </c>
      <c r="D36" s="239">
        <v>-13.125</v>
      </c>
      <c r="E36" s="239">
        <v>-13.125</v>
      </c>
      <c r="F36" s="239">
        <v>-13.125</v>
      </c>
      <c r="G36" s="239">
        <v>-13.125</v>
      </c>
      <c r="H36" s="239">
        <v>-13.125</v>
      </c>
      <c r="I36" s="239">
        <f>-19.875</f>
        <v>-19.875</v>
      </c>
      <c r="J36" s="239">
        <v>-20.399999999999999</v>
      </c>
      <c r="K36" s="239">
        <v>-17.981208250000002</v>
      </c>
      <c r="L36" s="239">
        <v>-17.981208250000002</v>
      </c>
      <c r="M36" s="239">
        <f>G36+H36</f>
        <v>-26.25</v>
      </c>
      <c r="N36" s="240">
        <f>K36+L36</f>
        <v>-35.962416500000003</v>
      </c>
      <c r="Q36" s="39"/>
      <c r="R36" s="39"/>
    </row>
    <row r="37" spans="2:20" s="9" customFormat="1" ht="24" customHeight="1" x14ac:dyDescent="0.2">
      <c r="B37" s="228" t="s">
        <v>179</v>
      </c>
      <c r="C37" s="229">
        <f t="shared" ref="C37:I37" si="12">C34+C36</f>
        <v>266.18206575479985</v>
      </c>
      <c r="D37" s="229">
        <f t="shared" si="12"/>
        <v>311.44376742499998</v>
      </c>
      <c r="E37" s="229">
        <f t="shared" si="12"/>
        <v>306.57778441000016</v>
      </c>
      <c r="F37" s="229">
        <f t="shared" si="12"/>
        <v>322.85713149039992</v>
      </c>
      <c r="G37" s="748">
        <f t="shared" si="12"/>
        <v>272.23580524449994</v>
      </c>
      <c r="H37" s="748">
        <f t="shared" si="12"/>
        <v>281.08382096560001</v>
      </c>
      <c r="I37" s="748">
        <f t="shared" si="12"/>
        <v>263.63575574850006</v>
      </c>
      <c r="J37" s="748">
        <f t="shared" ref="J37" si="13">J34+J36</f>
        <v>312.50425374456887</v>
      </c>
      <c r="K37" s="748">
        <f t="shared" ref="K37:N37" si="14">K34+K36</f>
        <v>269.10779174999999</v>
      </c>
      <c r="L37" s="748">
        <f t="shared" si="14"/>
        <v>322.13379174999983</v>
      </c>
      <c r="M37" s="748">
        <f t="shared" si="14"/>
        <v>553.31962621010007</v>
      </c>
      <c r="N37" s="719">
        <f t="shared" si="14"/>
        <v>591.24158350000005</v>
      </c>
      <c r="Q37" s="39"/>
      <c r="R37" s="39"/>
    </row>
    <row r="38" spans="2:20" s="9" customFormat="1" ht="24" customHeight="1" x14ac:dyDescent="0.2">
      <c r="B38" s="241" t="s">
        <v>137</v>
      </c>
      <c r="C38" s="242">
        <f t="shared" ref="C38:I38" si="15">C37/C53</f>
        <v>0.21364749556552443</v>
      </c>
      <c r="D38" s="242">
        <f t="shared" si="15"/>
        <v>0.25011304233528103</v>
      </c>
      <c r="E38" s="242">
        <f t="shared" si="15"/>
        <v>0.24592670002666392</v>
      </c>
      <c r="F38" s="242">
        <f t="shared" si="15"/>
        <v>0.25910703698085025</v>
      </c>
      <c r="G38" s="242">
        <f t="shared" si="15"/>
        <v>0.21823417065168407</v>
      </c>
      <c r="H38" s="242">
        <f t="shared" si="15"/>
        <v>0.22530407241273848</v>
      </c>
      <c r="I38" s="242">
        <f t="shared" si="15"/>
        <v>0.21124859433948845</v>
      </c>
      <c r="J38" s="242">
        <f t="shared" ref="J38" si="16">J37/J53</f>
        <v>0.25406263818802677</v>
      </c>
      <c r="K38" s="242">
        <f t="shared" ref="K38:N38" si="17">K37/K53</f>
        <v>0.21888072559538863</v>
      </c>
      <c r="L38" s="242">
        <f t="shared" si="17"/>
        <v>0.26147157521523828</v>
      </c>
      <c r="M38" s="242">
        <f t="shared" si="17"/>
        <v>0.44351597577822421</v>
      </c>
      <c r="N38" s="902">
        <f t="shared" si="17"/>
        <v>0.47990267438466244</v>
      </c>
      <c r="Q38" s="39"/>
      <c r="R38" s="39"/>
    </row>
    <row r="39" spans="2:20" s="9" customFormat="1" ht="14.25" customHeight="1" x14ac:dyDescent="0.2">
      <c r="B39" s="220"/>
      <c r="C39" s="199"/>
      <c r="D39" s="199"/>
      <c r="E39" s="199"/>
      <c r="F39" s="199"/>
      <c r="G39" s="199"/>
      <c r="H39" s="199"/>
      <c r="I39" s="199"/>
      <c r="J39" s="199"/>
      <c r="K39" s="199"/>
      <c r="L39" s="199"/>
      <c r="M39" s="199"/>
      <c r="N39" s="221"/>
      <c r="Q39" s="39"/>
      <c r="R39" s="39"/>
    </row>
    <row r="40" spans="2:20" s="9" customFormat="1" ht="24" customHeight="1" x14ac:dyDescent="0.2">
      <c r="B40" s="218" t="s">
        <v>630</v>
      </c>
      <c r="C40" s="718">
        <f t="shared" ref="C40:I40" si="18">C34</f>
        <v>279.30706575479985</v>
      </c>
      <c r="D40" s="718">
        <f t="shared" si="18"/>
        <v>324.56876742499998</v>
      </c>
      <c r="E40" s="718">
        <f t="shared" si="18"/>
        <v>319.70278441000016</v>
      </c>
      <c r="F40" s="718">
        <f t="shared" si="18"/>
        <v>335.98213149039992</v>
      </c>
      <c r="G40" s="718">
        <f>G34</f>
        <v>285.36080524449994</v>
      </c>
      <c r="H40" s="718">
        <f t="shared" si="18"/>
        <v>294.20882096560001</v>
      </c>
      <c r="I40" s="718">
        <f t="shared" si="18"/>
        <v>283.51075574850006</v>
      </c>
      <c r="J40" s="718">
        <f t="shared" ref="J40" si="19">J34</f>
        <v>332.90425374456885</v>
      </c>
      <c r="K40" s="718">
        <f t="shared" ref="K40:N40" si="20">K34</f>
        <v>287.089</v>
      </c>
      <c r="L40" s="718">
        <f t="shared" si="20"/>
        <v>340.11499999999984</v>
      </c>
      <c r="M40" s="718">
        <f t="shared" si="20"/>
        <v>579.56962621010007</v>
      </c>
      <c r="N40" s="901">
        <f t="shared" si="20"/>
        <v>627.20400000000006</v>
      </c>
      <c r="P40" s="39"/>
      <c r="Q40" s="39"/>
      <c r="R40" s="39"/>
      <c r="S40" s="35"/>
      <c r="T40" s="35"/>
    </row>
    <row r="41" spans="2:20" s="9" customFormat="1" ht="24" customHeight="1" x14ac:dyDescent="0.2">
      <c r="B41" s="217" t="s">
        <v>631</v>
      </c>
      <c r="C41" s="211">
        <v>-43.292000000000002</v>
      </c>
      <c r="D41" s="715">
        <v>11.949892</v>
      </c>
      <c r="E41" s="716">
        <v>0</v>
      </c>
      <c r="F41" s="219">
        <v>0</v>
      </c>
      <c r="G41" s="219">
        <v>0</v>
      </c>
      <c r="H41" s="219">
        <v>0</v>
      </c>
      <c r="I41" s="219">
        <v>0</v>
      </c>
      <c r="J41" s="219">
        <v>0</v>
      </c>
      <c r="K41" s="219">
        <v>0</v>
      </c>
      <c r="L41" s="992">
        <v>0</v>
      </c>
      <c r="M41" s="219">
        <v>0</v>
      </c>
      <c r="N41" s="227">
        <v>0</v>
      </c>
      <c r="P41" s="39"/>
      <c r="Q41" s="39"/>
      <c r="R41" s="39"/>
      <c r="S41" s="35"/>
      <c r="T41" s="35"/>
    </row>
    <row r="42" spans="2:20" s="9" customFormat="1" ht="24" customHeight="1" x14ac:dyDescent="0.2">
      <c r="B42" s="217" t="s">
        <v>632</v>
      </c>
      <c r="C42" s="230">
        <v>-9.6033038800000003</v>
      </c>
      <c r="D42" s="231">
        <v>-4.2904095</v>
      </c>
      <c r="E42" s="231">
        <v>-1.837108</v>
      </c>
      <c r="F42" s="231">
        <v>-38.653692239999998</v>
      </c>
      <c r="G42" s="231">
        <v>-2.4</v>
      </c>
      <c r="H42" s="231">
        <v>-3.8</v>
      </c>
      <c r="I42" s="231">
        <v>-4.8</v>
      </c>
      <c r="J42" s="231">
        <v>-21.463821250000002</v>
      </c>
      <c r="K42" s="231">
        <v>0</v>
      </c>
      <c r="L42" s="995">
        <v>0</v>
      </c>
      <c r="M42" s="231">
        <v>-6.1999999999999993</v>
      </c>
      <c r="N42" s="232">
        <v>0</v>
      </c>
      <c r="P42" s="39"/>
      <c r="Q42" s="39"/>
      <c r="R42" s="39"/>
      <c r="S42" s="35"/>
      <c r="T42" s="35"/>
    </row>
    <row r="43" spans="2:20" s="9" customFormat="1" ht="24" customHeight="1" x14ac:dyDescent="0.2">
      <c r="B43" s="217" t="s">
        <v>633</v>
      </c>
      <c r="C43" s="230">
        <v>-12.14</v>
      </c>
      <c r="D43" s="231">
        <v>0</v>
      </c>
      <c r="E43" s="231">
        <v>0</v>
      </c>
      <c r="F43" s="231">
        <v>-61.33</v>
      </c>
      <c r="G43" s="231">
        <v>-0.44911295000000001</v>
      </c>
      <c r="H43" s="231">
        <v>-24.955732359999999</v>
      </c>
      <c r="I43" s="231">
        <v>-0.52778334999999998</v>
      </c>
      <c r="J43" s="231">
        <v>-37.546928030000004</v>
      </c>
      <c r="K43" s="231">
        <v>-8</v>
      </c>
      <c r="L43" s="995">
        <v>0</v>
      </c>
      <c r="M43" s="231">
        <v>-25.404845309999999</v>
      </c>
      <c r="N43" s="232">
        <v>-8</v>
      </c>
      <c r="Q43" s="39"/>
      <c r="R43" s="39"/>
      <c r="S43" s="35"/>
      <c r="T43" s="35"/>
    </row>
    <row r="44" spans="2:20" s="9" customFormat="1" ht="24" customHeight="1" x14ac:dyDescent="0.2">
      <c r="B44" s="217" t="s">
        <v>634</v>
      </c>
      <c r="C44" s="230">
        <v>0</v>
      </c>
      <c r="D44" s="231">
        <v>0</v>
      </c>
      <c r="E44" s="231">
        <v>0</v>
      </c>
      <c r="F44" s="231">
        <v>-88.600999999999999</v>
      </c>
      <c r="G44" s="231">
        <v>0.54234499999999997</v>
      </c>
      <c r="H44" s="231">
        <v>2.4137309999999998</v>
      </c>
      <c r="I44" s="231">
        <v>-0.36426700000000301</v>
      </c>
      <c r="J44" s="231">
        <v>-46.092507784198304</v>
      </c>
      <c r="K44" s="231">
        <v>0</v>
      </c>
      <c r="L44" s="995">
        <v>0</v>
      </c>
      <c r="M44" s="231">
        <v>2.9560759999999999</v>
      </c>
      <c r="N44" s="232">
        <v>0</v>
      </c>
      <c r="Q44" s="39"/>
      <c r="R44" s="39"/>
      <c r="S44" s="35"/>
      <c r="T44" s="35"/>
    </row>
    <row r="45" spans="2:20" s="9" customFormat="1" ht="24" customHeight="1" x14ac:dyDescent="0.2">
      <c r="B45" s="141" t="s">
        <v>598</v>
      </c>
      <c r="C45" s="233">
        <v>0</v>
      </c>
      <c r="D45" s="231">
        <v>0</v>
      </c>
      <c r="E45" s="219">
        <v>0</v>
      </c>
      <c r="F45" s="716">
        <v>-25</v>
      </c>
      <c r="G45" s="716">
        <v>0</v>
      </c>
      <c r="H45" s="716">
        <v>0</v>
      </c>
      <c r="I45" s="715">
        <f>-25-1.44</f>
        <v>-26.44</v>
      </c>
      <c r="J45" s="231">
        <v>-11.4</v>
      </c>
      <c r="K45" s="231">
        <v>0</v>
      </c>
      <c r="L45" s="995">
        <v>-6</v>
      </c>
      <c r="M45" s="231">
        <f>G45+H45</f>
        <v>0</v>
      </c>
      <c r="N45" s="232">
        <f>K45+L45</f>
        <v>-6</v>
      </c>
      <c r="Q45" s="39"/>
      <c r="R45" s="39"/>
      <c r="S45" s="35"/>
      <c r="T45" s="35"/>
    </row>
    <row r="46" spans="2:20" s="9" customFormat="1" ht="24" customHeight="1" x14ac:dyDescent="0.2">
      <c r="B46" s="234" t="s">
        <v>635</v>
      </c>
      <c r="C46" s="230">
        <f t="shared" ref="C46:I46" si="21">-C23+C22</f>
        <v>18.860238125199999</v>
      </c>
      <c r="D46" s="717">
        <f t="shared" si="21"/>
        <v>-2.2212499249999951</v>
      </c>
      <c r="E46" s="231">
        <f t="shared" si="21"/>
        <v>0.53276132000000587</v>
      </c>
      <c r="F46" s="717">
        <f t="shared" si="21"/>
        <v>61.939560749599998</v>
      </c>
      <c r="G46" s="717">
        <f>-G23+G22</f>
        <v>0.66896270549999315</v>
      </c>
      <c r="H46" s="717">
        <f t="shared" si="21"/>
        <v>7.6391803944000003</v>
      </c>
      <c r="I46" s="717">
        <f t="shared" si="21"/>
        <v>9.3182946014999999</v>
      </c>
      <c r="J46" s="219">
        <f>-J23+J22</f>
        <v>33.785944548617501</v>
      </c>
      <c r="K46" s="219">
        <f>-K23+K22</f>
        <v>2.3199999999999932</v>
      </c>
      <c r="L46" s="992">
        <f>-L23+L22</f>
        <v>1.7399999999999949</v>
      </c>
      <c r="M46" s="219">
        <f>-M23+M22</f>
        <v>8.3081430998999792</v>
      </c>
      <c r="N46" s="227">
        <f>-N23+N22</f>
        <v>4.0600000000000023</v>
      </c>
      <c r="Q46" s="39"/>
      <c r="R46" s="39"/>
      <c r="S46" s="35"/>
      <c r="T46" s="35"/>
    </row>
    <row r="47" spans="2:20" s="9" customFormat="1" ht="24" customHeight="1" x14ac:dyDescent="0.2">
      <c r="B47" s="720" t="s">
        <v>180</v>
      </c>
      <c r="C47" s="718">
        <f t="shared" ref="C47:I47" si="22">SUM(C40:C46)</f>
        <v>233.13199999999983</v>
      </c>
      <c r="D47" s="718">
        <f t="shared" si="22"/>
        <v>330.00699999999995</v>
      </c>
      <c r="E47" s="718">
        <f t="shared" si="22"/>
        <v>318.39843773000018</v>
      </c>
      <c r="F47" s="718">
        <f t="shared" si="22"/>
        <v>184.33699999999993</v>
      </c>
      <c r="G47" s="718">
        <f t="shared" si="22"/>
        <v>283.72299999999996</v>
      </c>
      <c r="H47" s="718">
        <f t="shared" si="22"/>
        <v>275.50599999999997</v>
      </c>
      <c r="I47" s="718">
        <f t="shared" si="22"/>
        <v>260.69700000000006</v>
      </c>
      <c r="J47" s="718">
        <f t="shared" ref="J47" si="23">SUM(J40:J46)</f>
        <v>250.18694122898802</v>
      </c>
      <c r="K47" s="718">
        <f t="shared" ref="K47:N47" si="24">SUM(K40:K46)</f>
        <v>281.40899999999999</v>
      </c>
      <c r="L47" s="718">
        <f t="shared" si="24"/>
        <v>335.85499999999985</v>
      </c>
      <c r="M47" s="718">
        <f t="shared" si="24"/>
        <v>559.22900000000004</v>
      </c>
      <c r="N47" s="901">
        <f t="shared" si="24"/>
        <v>617.26400000000012</v>
      </c>
      <c r="P47" s="39"/>
      <c r="Q47" s="39"/>
      <c r="R47" s="39"/>
      <c r="S47" s="35"/>
      <c r="T47" s="35"/>
    </row>
    <row r="48" spans="2:20" s="9" customFormat="1" ht="13.5" customHeight="1" x14ac:dyDescent="0.2">
      <c r="B48" s="222"/>
      <c r="C48" s="223"/>
      <c r="D48" s="223"/>
      <c r="E48" s="223"/>
      <c r="F48" s="223"/>
      <c r="G48" s="223"/>
      <c r="H48" s="223"/>
      <c r="I48" s="223"/>
      <c r="J48" s="223"/>
      <c r="K48" s="223"/>
      <c r="L48" s="223"/>
      <c r="M48" s="223"/>
      <c r="N48" s="243"/>
    </row>
    <row r="49" spans="2:17" s="9" customFormat="1" ht="24" customHeight="1" x14ac:dyDescent="0.2">
      <c r="B49" s="238" t="s">
        <v>178</v>
      </c>
      <c r="C49" s="239">
        <v>-13.125</v>
      </c>
      <c r="D49" s="239">
        <v>-13.125</v>
      </c>
      <c r="E49" s="239">
        <v>-13.125</v>
      </c>
      <c r="F49" s="239">
        <v>-13.125</v>
      </c>
      <c r="G49" s="239">
        <v>-13.125</v>
      </c>
      <c r="H49" s="239">
        <v>-13.125</v>
      </c>
      <c r="I49" s="239">
        <v>-19.875</v>
      </c>
      <c r="J49" s="239">
        <v>-20.399999999999999</v>
      </c>
      <c r="K49" s="239">
        <v>-17.981208250000002</v>
      </c>
      <c r="L49" s="239">
        <v>-17.981208250000002</v>
      </c>
      <c r="M49" s="239">
        <f>G49+H49</f>
        <v>-26.25</v>
      </c>
      <c r="N49" s="240">
        <f>K49+L49</f>
        <v>-35.962416500000003</v>
      </c>
    </row>
    <row r="50" spans="2:17" s="9" customFormat="1" ht="24" customHeight="1" x14ac:dyDescent="0.2">
      <c r="B50" s="228" t="s">
        <v>181</v>
      </c>
      <c r="C50" s="229">
        <f t="shared" ref="C50:I50" si="25">C47+C49</f>
        <v>220.00699999999983</v>
      </c>
      <c r="D50" s="229">
        <f t="shared" si="25"/>
        <v>316.88199999999995</v>
      </c>
      <c r="E50" s="229">
        <f t="shared" si="25"/>
        <v>305.27343773000018</v>
      </c>
      <c r="F50" s="229">
        <f t="shared" si="25"/>
        <v>171.21199999999993</v>
      </c>
      <c r="G50" s="748">
        <f t="shared" si="25"/>
        <v>270.59799999999996</v>
      </c>
      <c r="H50" s="748">
        <f t="shared" si="25"/>
        <v>262.38099999999997</v>
      </c>
      <c r="I50" s="748">
        <f t="shared" si="25"/>
        <v>240.82200000000006</v>
      </c>
      <c r="J50" s="748">
        <f t="shared" ref="J50" si="26">J47+J49</f>
        <v>229.78694122898801</v>
      </c>
      <c r="K50" s="748">
        <f t="shared" ref="K50:N50" si="27">K47+K49</f>
        <v>263.42779174999998</v>
      </c>
      <c r="L50" s="748">
        <f t="shared" si="27"/>
        <v>317.87379174999984</v>
      </c>
      <c r="M50" s="748">
        <f t="shared" si="27"/>
        <v>532.97900000000004</v>
      </c>
      <c r="N50" s="719">
        <f t="shared" si="27"/>
        <v>581.30158350000011</v>
      </c>
    </row>
    <row r="51" spans="2:17" s="9" customFormat="1" ht="24" customHeight="1" x14ac:dyDescent="0.2">
      <c r="B51" s="237" t="s">
        <v>138</v>
      </c>
      <c r="C51" s="235">
        <f t="shared" ref="C51:D51" si="28">C50/C53</f>
        <v>0.17658569304283309</v>
      </c>
      <c r="D51" s="235">
        <f t="shared" si="28"/>
        <v>0.2544803568765413</v>
      </c>
      <c r="E51" s="235">
        <f t="shared" ref="E51:I51" si="29">E50/E53</f>
        <v>0.24488039565950162</v>
      </c>
      <c r="F51" s="235">
        <f t="shared" si="29"/>
        <v>0.13740515444331891</v>
      </c>
      <c r="G51" s="235">
        <f t="shared" si="29"/>
        <v>0.2169212461122341</v>
      </c>
      <c r="H51" s="235">
        <f t="shared" si="29"/>
        <v>0.21031273739146117</v>
      </c>
      <c r="I51" s="235">
        <f t="shared" si="29"/>
        <v>0.19296816868253552</v>
      </c>
      <c r="J51" s="235">
        <f t="shared" ref="J51" si="30">J50/J53</f>
        <v>0.18681434191776458</v>
      </c>
      <c r="K51" s="235">
        <f t="shared" ref="K51:N51" si="31">K50/K53</f>
        <v>0.2142608574254741</v>
      </c>
      <c r="L51" s="235">
        <f t="shared" si="31"/>
        <v>0.25801379171365096</v>
      </c>
      <c r="M51" s="235">
        <f t="shared" si="31"/>
        <v>0.42721185018032409</v>
      </c>
      <c r="N51" s="236">
        <f t="shared" si="31"/>
        <v>0.47183451288095879</v>
      </c>
      <c r="Q51" s="94"/>
    </row>
    <row r="52" spans="2:17" s="9" customFormat="1" ht="15.75" customHeight="1" x14ac:dyDescent="0.2">
      <c r="B52" s="214"/>
      <c r="C52" s="215"/>
      <c r="D52" s="215"/>
      <c r="E52" s="215"/>
      <c r="F52" s="215"/>
      <c r="G52" s="215"/>
      <c r="H52" s="215"/>
      <c r="I52" s="215"/>
      <c r="J52" s="215"/>
      <c r="K52" s="215"/>
      <c r="L52" s="215"/>
      <c r="M52" s="215"/>
      <c r="N52" s="215"/>
    </row>
    <row r="53" spans="2:17" s="9" customFormat="1" ht="24" customHeight="1" x14ac:dyDescent="0.2">
      <c r="B53" s="212" t="s">
        <v>182</v>
      </c>
      <c r="C53" s="713">
        <v>1245.8936859999999</v>
      </c>
      <c r="D53" s="713">
        <v>1245.212023</v>
      </c>
      <c r="E53" s="713">
        <v>1246.622609</v>
      </c>
      <c r="F53" s="713">
        <v>1246.037681</v>
      </c>
      <c r="G53" s="713">
        <f>1250.367223-2.919106</f>
        <v>1247.4481169999999</v>
      </c>
      <c r="H53" s="713">
        <v>1247.5754119999999</v>
      </c>
      <c r="I53" s="713">
        <v>1247.9882129999999</v>
      </c>
      <c r="J53" s="713">
        <v>1230.028374</v>
      </c>
      <c r="K53" s="713">
        <v>1229.4723119999999</v>
      </c>
      <c r="L53" s="713">
        <v>1232.0031019999999</v>
      </c>
      <c r="M53" s="713">
        <f>H53</f>
        <v>1247.5754119999999</v>
      </c>
      <c r="N53" s="713">
        <f>L53</f>
        <v>1232.0031019999999</v>
      </c>
    </row>
    <row r="54" spans="2:17" s="9" customFormat="1" ht="24" customHeight="1" x14ac:dyDescent="0.2">
      <c r="B54" s="162" t="s">
        <v>659</v>
      </c>
      <c r="C54" s="162"/>
      <c r="D54" s="162"/>
      <c r="E54" s="162"/>
      <c r="F54" s="162"/>
      <c r="G54" s="162"/>
      <c r="H54" s="162"/>
      <c r="I54" s="162"/>
      <c r="J54" s="162"/>
      <c r="K54" s="162"/>
      <c r="L54" s="162"/>
      <c r="M54" s="162"/>
      <c r="N54" s="162"/>
    </row>
    <row r="55" spans="2:17" s="9" customFormat="1" ht="12.75" customHeight="1" x14ac:dyDescent="0.2">
      <c r="B55" s="114"/>
      <c r="C55" s="142"/>
      <c r="D55" s="142"/>
      <c r="E55" s="142"/>
      <c r="F55" s="142"/>
      <c r="G55" s="142"/>
      <c r="H55" s="142"/>
      <c r="I55" s="142"/>
      <c r="J55" s="142"/>
      <c r="K55" s="142"/>
      <c r="L55" s="142"/>
      <c r="M55" s="142"/>
      <c r="N55" s="142"/>
    </row>
    <row r="56" spans="2:17" s="9" customFormat="1" ht="22.5" customHeight="1" x14ac:dyDescent="0.2">
      <c r="B56" s="162"/>
      <c r="C56" s="163"/>
      <c r="D56" s="163"/>
      <c r="E56" s="163"/>
      <c r="F56" s="163"/>
      <c r="G56" s="163"/>
      <c r="H56" s="163"/>
      <c r="I56" s="163"/>
      <c r="J56" s="163"/>
      <c r="K56" s="163"/>
      <c r="L56" s="163"/>
      <c r="M56" s="163"/>
      <c r="N56" s="163"/>
    </row>
    <row r="57" spans="2:17" ht="22.5" customHeight="1" x14ac:dyDescent="0.2">
      <c r="B57" s="162"/>
      <c r="C57" s="213"/>
      <c r="D57" s="213"/>
      <c r="E57" s="213"/>
      <c r="F57" s="213"/>
      <c r="G57" s="213"/>
      <c r="H57" s="213"/>
      <c r="I57" s="213"/>
      <c r="J57" s="213"/>
      <c r="K57" s="213"/>
      <c r="L57" s="213"/>
      <c r="M57" s="213"/>
      <c r="N57" s="213"/>
    </row>
    <row r="58" spans="2:17" ht="22.5" customHeight="1" x14ac:dyDescent="0.2">
      <c r="B58" s="162"/>
      <c r="C58" s="162"/>
      <c r="D58" s="162"/>
      <c r="E58" s="162"/>
      <c r="F58" s="162"/>
      <c r="G58" s="162"/>
      <c r="H58" s="162"/>
      <c r="I58" s="162"/>
      <c r="J58" s="162"/>
      <c r="K58" s="162"/>
      <c r="L58" s="162"/>
      <c r="M58" s="162"/>
      <c r="N58" s="162"/>
    </row>
    <row r="59" spans="2:17" ht="22.5" customHeight="1" x14ac:dyDescent="0.2">
      <c r="B59" s="162"/>
      <c r="C59" s="162"/>
      <c r="D59" s="162"/>
      <c r="E59" s="162"/>
      <c r="F59" s="162"/>
      <c r="G59" s="162"/>
      <c r="H59" s="162"/>
      <c r="I59" s="162"/>
      <c r="J59" s="162"/>
      <c r="K59" s="162"/>
      <c r="L59" s="162"/>
      <c r="M59" s="162"/>
      <c r="N59" s="162"/>
    </row>
    <row r="60" spans="2:17" s="9" customFormat="1" ht="29.25" customHeight="1" x14ac:dyDescent="0.2">
      <c r="B60" s="1099"/>
      <c r="C60" s="1099"/>
      <c r="D60" s="1099"/>
      <c r="E60" s="1099"/>
      <c r="F60" s="1099"/>
      <c r="G60" s="1099"/>
      <c r="H60" s="1099"/>
      <c r="I60" s="1099"/>
      <c r="J60" s="1099"/>
      <c r="K60" s="1099"/>
      <c r="L60" s="1099"/>
      <c r="M60" s="1099"/>
      <c r="N60" s="1099"/>
      <c r="O60" s="1099"/>
    </row>
    <row r="61" spans="2:17" s="9" customFormat="1" ht="22.5" customHeight="1" x14ac:dyDescent="0.2">
      <c r="B61" s="1099"/>
      <c r="C61" s="1099"/>
      <c r="D61" s="1099"/>
      <c r="E61" s="1099"/>
      <c r="F61" s="1099"/>
      <c r="G61" s="1099"/>
      <c r="H61" s="1099"/>
      <c r="I61" s="1099"/>
      <c r="J61" s="1099"/>
      <c r="K61" s="1099"/>
      <c r="L61" s="1099"/>
      <c r="M61" s="1099"/>
      <c r="N61" s="1099"/>
    </row>
    <row r="62" spans="2:17" s="9" customFormat="1" ht="45" customHeight="1" x14ac:dyDescent="0.2">
      <c r="B62" s="1099"/>
      <c r="C62" s="1099"/>
      <c r="D62" s="1099"/>
      <c r="E62" s="1099"/>
      <c r="F62" s="1099"/>
      <c r="G62" s="1099"/>
      <c r="H62" s="1099"/>
      <c r="I62" s="1099"/>
      <c r="J62" s="1099"/>
      <c r="K62" s="1099"/>
      <c r="L62" s="1099"/>
      <c r="M62" s="1099"/>
      <c r="N62" s="1099"/>
    </row>
    <row r="63" spans="2:17" s="9" customFormat="1" ht="22.5" customHeight="1" x14ac:dyDescent="0.2">
      <c r="B63" s="1099"/>
      <c r="C63" s="1099"/>
      <c r="D63" s="1099"/>
      <c r="E63" s="1099"/>
      <c r="F63" s="1099"/>
      <c r="G63" s="1099"/>
      <c r="H63" s="1099"/>
      <c r="I63" s="1099"/>
      <c r="J63" s="1099"/>
      <c r="K63" s="1099"/>
      <c r="L63" s="1099"/>
      <c r="M63" s="1099"/>
      <c r="N63" s="1099"/>
    </row>
    <row r="65" spans="3:4" ht="18.75" x14ac:dyDescent="0.2">
      <c r="C65" s="60"/>
      <c r="D65" s="60"/>
    </row>
    <row r="66" spans="3:4" ht="36" customHeight="1" x14ac:dyDescent="0.2"/>
    <row r="67" spans="3:4" ht="27" customHeight="1" x14ac:dyDescent="0.2"/>
    <row r="68" spans="3:4" ht="27" customHeight="1" x14ac:dyDescent="0.2"/>
    <row r="69" spans="3:4" ht="27" customHeight="1" x14ac:dyDescent="0.2"/>
    <row r="70" spans="3:4" ht="27" customHeight="1" x14ac:dyDescent="0.2"/>
    <row r="71" spans="3:4" ht="27" customHeight="1" x14ac:dyDescent="0.2"/>
    <row r="77" spans="3:4" ht="30.75" customHeight="1" x14ac:dyDescent="0.2"/>
    <row r="78" spans="3:4" ht="24" customHeight="1" x14ac:dyDescent="0.2"/>
  </sheetData>
  <mergeCells count="5">
    <mergeCell ref="B5:N5"/>
    <mergeCell ref="B62:N62"/>
    <mergeCell ref="B63:N63"/>
    <mergeCell ref="B60:O60"/>
    <mergeCell ref="B61:N61"/>
  </mergeCells>
  <phoneticPr fontId="24" type="noConversion"/>
  <hyperlinks>
    <hyperlink ref="N2" location="'Cover '!A1" display="Back to Cover" xr:uid="{44B6E139-AED6-488E-88EF-C408248B448E}"/>
  </hyperlinks>
  <printOptions horizontalCentered="1" verticalCentered="1"/>
  <pageMargins left="0" right="0" top="0" bottom="0" header="0" footer="0"/>
  <pageSetup paperSize="8" scale="71" orientation="landscape" r:id="rId1"/>
  <headerFooter alignWithMargins="0"/>
  <ignoredErrors>
    <ignoredError sqref="E21"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Y59"/>
  <sheetViews>
    <sheetView showGridLines="0" view="pageBreakPreview" zoomScale="90" zoomScaleNormal="90" zoomScaleSheetLayoutView="90" workbookViewId="0">
      <pane xSplit="2" ySplit="9" topLeftCell="C10" activePane="bottomRight" state="frozen"/>
      <selection activeCell="M28" sqref="M28"/>
      <selection pane="topRight" activeCell="M28" sqref="M28"/>
      <selection pane="bottomLeft" activeCell="M28" sqref="M28"/>
      <selection pane="bottomRight" activeCell="Q9" sqref="Q9"/>
    </sheetView>
  </sheetViews>
  <sheetFormatPr defaultColWidth="9.140625" defaultRowHeight="15.75" x14ac:dyDescent="0.2"/>
  <cols>
    <col min="1" max="1" width="2.42578125" style="6" customWidth="1"/>
    <col min="2" max="2" width="81.42578125" style="6" customWidth="1"/>
    <col min="3" max="5" width="16.140625" style="6" customWidth="1"/>
    <col min="6" max="6" width="16.28515625" style="6" customWidth="1"/>
    <col min="7" max="12" width="16.140625" style="6" customWidth="1"/>
    <col min="13" max="13" width="4" style="33" customWidth="1"/>
    <col min="14" max="14" width="11" style="6" customWidth="1"/>
    <col min="15" max="15" width="2.42578125" style="6" customWidth="1"/>
    <col min="16" max="16" width="11.28515625" style="6" bestFit="1" customWidth="1"/>
    <col min="17" max="17" width="17.85546875" style="6" bestFit="1" customWidth="1"/>
    <col min="18" max="18" width="11.5703125" style="6" bestFit="1" customWidth="1"/>
    <col min="19" max="19" width="13.140625" style="6" customWidth="1"/>
    <col min="20" max="16384" width="9.140625" style="6"/>
  </cols>
  <sheetData>
    <row r="1" spans="1:21" ht="15.75" customHeight="1" x14ac:dyDescent="0.2">
      <c r="L1" s="110"/>
      <c r="M1" s="278"/>
      <c r="N1" s="110"/>
    </row>
    <row r="2" spans="1:21" ht="15.75" customHeight="1" x14ac:dyDescent="0.2">
      <c r="L2" s="250"/>
      <c r="M2" s="244"/>
      <c r="N2" s="112" t="s">
        <v>18</v>
      </c>
    </row>
    <row r="3" spans="1:21" ht="15.75" customHeight="1" x14ac:dyDescent="0.2">
      <c r="B3" s="12"/>
    </row>
    <row r="4" spans="1:21" ht="15.75" customHeight="1" x14ac:dyDescent="0.2"/>
    <row r="5" spans="1:21" s="17" customFormat="1" ht="28.5" x14ac:dyDescent="0.2">
      <c r="A5" s="16"/>
      <c r="B5" s="1091" t="s">
        <v>4</v>
      </c>
      <c r="C5" s="1091"/>
      <c r="D5" s="1091"/>
      <c r="E5" s="1091"/>
      <c r="F5" s="1091"/>
      <c r="G5" s="1091"/>
      <c r="H5" s="1091"/>
      <c r="I5" s="1091"/>
      <c r="J5" s="1091"/>
      <c r="K5" s="1091"/>
      <c r="L5" s="1091"/>
      <c r="M5" s="1091"/>
      <c r="N5" s="1091"/>
      <c r="Q5" s="71"/>
      <c r="R5" s="71"/>
      <c r="S5" s="71"/>
      <c r="U5" s="72"/>
    </row>
    <row r="6" spans="1:21" s="17" customFormat="1" ht="9" customHeight="1" x14ac:dyDescent="0.2">
      <c r="A6" s="16"/>
      <c r="B6" s="18"/>
      <c r="C6" s="18"/>
      <c r="D6" s="18"/>
      <c r="E6" s="18"/>
      <c r="F6" s="18"/>
      <c r="G6" s="18"/>
      <c r="H6" s="18"/>
      <c r="I6" s="18"/>
      <c r="J6" s="18"/>
      <c r="K6" s="18"/>
      <c r="L6" s="18"/>
      <c r="M6" s="18"/>
    </row>
    <row r="7" spans="1:21" s="17" customFormat="1" ht="15.75" customHeight="1" x14ac:dyDescent="0.2">
      <c r="A7" s="18"/>
      <c r="B7" s="6"/>
      <c r="C7" s="32"/>
      <c r="D7" s="32"/>
      <c r="E7" s="32"/>
      <c r="F7" s="32"/>
      <c r="G7" s="32"/>
      <c r="H7" s="32"/>
      <c r="I7" s="32"/>
      <c r="J7" s="32"/>
      <c r="K7" s="32"/>
      <c r="L7" s="32"/>
      <c r="M7" s="34"/>
      <c r="N7" s="14"/>
      <c r="Q7" s="71"/>
      <c r="R7" s="71"/>
      <c r="S7" s="71"/>
      <c r="U7" s="73"/>
    </row>
    <row r="8" spans="1:21" ht="18.600000000000001" customHeight="1" x14ac:dyDescent="0.2"/>
    <row r="9" spans="1:21" ht="39.6" customHeight="1" x14ac:dyDescent="0.2">
      <c r="B9" s="252" t="s">
        <v>0</v>
      </c>
      <c r="C9" s="177">
        <v>45382</v>
      </c>
      <c r="D9" s="177">
        <v>45473</v>
      </c>
      <c r="E9" s="177">
        <v>45565</v>
      </c>
      <c r="F9" s="177">
        <v>45657</v>
      </c>
      <c r="G9" s="177">
        <v>45747</v>
      </c>
      <c r="H9" s="177">
        <v>45838</v>
      </c>
      <c r="I9" s="177">
        <v>45930</v>
      </c>
      <c r="J9" s="177">
        <v>46022</v>
      </c>
      <c r="K9" s="181">
        <v>46112</v>
      </c>
      <c r="L9" s="180">
        <v>46203</v>
      </c>
      <c r="M9" s="244"/>
      <c r="N9" s="273" t="s">
        <v>33</v>
      </c>
    </row>
    <row r="10" spans="1:21" ht="19.5" customHeight="1" x14ac:dyDescent="0.35">
      <c r="B10" s="253" t="s">
        <v>5</v>
      </c>
      <c r="C10" s="245"/>
      <c r="D10" s="254"/>
      <c r="E10" s="254"/>
      <c r="F10" s="254"/>
      <c r="G10" s="254"/>
      <c r="H10" s="254"/>
      <c r="I10" s="254"/>
      <c r="J10" s="254"/>
      <c r="K10" s="985"/>
      <c r="L10" s="255"/>
      <c r="M10" s="244"/>
      <c r="N10" s="274"/>
    </row>
    <row r="11" spans="1:21" s="9" customFormat="1" ht="19.5" customHeight="1" x14ac:dyDescent="0.35">
      <c r="B11" s="256" t="s">
        <v>24</v>
      </c>
      <c r="C11" s="245">
        <v>11108.459000000001</v>
      </c>
      <c r="D11" s="254">
        <v>8754.6980000000003</v>
      </c>
      <c r="E11" s="254">
        <v>9797.7493262399985</v>
      </c>
      <c r="F11" s="254">
        <v>7422.5169999999998</v>
      </c>
      <c r="G11" s="254">
        <v>5128.9639999999999</v>
      </c>
      <c r="H11" s="254">
        <v>6190.4110000000001</v>
      </c>
      <c r="I11" s="254">
        <v>6615.51</v>
      </c>
      <c r="J11" s="254">
        <v>7496.59</v>
      </c>
      <c r="K11" s="985">
        <v>3647.884</v>
      </c>
      <c r="L11" s="255">
        <v>5365.5820000000003</v>
      </c>
      <c r="M11" s="246"/>
      <c r="N11" s="275">
        <f>L11/K11-1</f>
        <v>0.47087517037274229</v>
      </c>
      <c r="O11" s="46"/>
      <c r="P11" s="875"/>
      <c r="Q11" s="698"/>
    </row>
    <row r="12" spans="1:21" s="9" customFormat="1" ht="19.5" customHeight="1" x14ac:dyDescent="0.35">
      <c r="B12" s="256" t="s">
        <v>25</v>
      </c>
      <c r="C12" s="245">
        <v>1614.3720000000001</v>
      </c>
      <c r="D12" s="254">
        <v>1453.297</v>
      </c>
      <c r="E12" s="254">
        <v>1635.99229694</v>
      </c>
      <c r="F12" s="254">
        <v>2351.94</v>
      </c>
      <c r="G12" s="254">
        <v>2166.4760000000001</v>
      </c>
      <c r="H12" s="254">
        <v>2545.6590000000001</v>
      </c>
      <c r="I12" s="254">
        <v>3036.6640000000002</v>
      </c>
      <c r="J12" s="254">
        <v>3924.489</v>
      </c>
      <c r="K12" s="985">
        <v>4247.7110000000002</v>
      </c>
      <c r="L12" s="255">
        <v>4809.1400000000003</v>
      </c>
      <c r="M12" s="246"/>
      <c r="N12" s="275">
        <f t="shared" ref="N12:N24" si="0">L12/K12-1</f>
        <v>0.13217212752939167</v>
      </c>
      <c r="O12" s="38"/>
      <c r="P12" s="254"/>
      <c r="Q12" s="698"/>
      <c r="S12" s="58"/>
      <c r="T12" s="39"/>
    </row>
    <row r="13" spans="1:21" s="9" customFormat="1" ht="19.5" customHeight="1" x14ac:dyDescent="0.35">
      <c r="B13" s="257" t="s">
        <v>440</v>
      </c>
      <c r="C13" s="245">
        <v>37198.036212430001</v>
      </c>
      <c r="D13" s="254">
        <v>38398.538545699994</v>
      </c>
      <c r="E13" s="254">
        <v>39036.243863720003</v>
      </c>
      <c r="F13" s="254">
        <v>41425.406161789993</v>
      </c>
      <c r="G13" s="254">
        <v>42105.89161993</v>
      </c>
      <c r="H13" s="254">
        <v>42541.690181899998</v>
      </c>
      <c r="I13" s="254">
        <v>43359.265490639998</v>
      </c>
      <c r="J13" s="254">
        <v>44493.336243259997</v>
      </c>
      <c r="K13" s="985">
        <v>45092.896768880004</v>
      </c>
      <c r="L13" s="255">
        <v>46309.856729770006</v>
      </c>
      <c r="M13" s="246"/>
      <c r="N13" s="275">
        <f t="shared" si="0"/>
        <v>2.698784172432811E-2</v>
      </c>
      <c r="O13" s="271"/>
      <c r="P13" s="875"/>
      <c r="Q13" s="698"/>
      <c r="S13" s="38"/>
    </row>
    <row r="14" spans="1:21" s="9" customFormat="1" ht="19.5" customHeight="1" x14ac:dyDescent="0.35">
      <c r="B14" s="257" t="s">
        <v>183</v>
      </c>
      <c r="C14" s="245">
        <v>783.94621242999995</v>
      </c>
      <c r="D14" s="254">
        <v>743.11254570000006</v>
      </c>
      <c r="E14" s="254">
        <v>774.34113476000005</v>
      </c>
      <c r="F14" s="254">
        <v>691.09616179</v>
      </c>
      <c r="G14" s="254">
        <v>704.67861992999997</v>
      </c>
      <c r="H14" s="254">
        <v>736.80218189999994</v>
      </c>
      <c r="I14" s="254">
        <v>790.82919704999995</v>
      </c>
      <c r="J14" s="254">
        <v>737.20424325999988</v>
      </c>
      <c r="K14" s="985">
        <v>757.64976888000001</v>
      </c>
      <c r="L14" s="255">
        <v>801.81072976999997</v>
      </c>
      <c r="M14" s="246"/>
      <c r="N14" s="275">
        <f t="shared" si="0"/>
        <v>5.8286774052978441E-2</v>
      </c>
      <c r="O14" s="38"/>
      <c r="P14" s="875"/>
      <c r="Q14" s="698"/>
    </row>
    <row r="15" spans="1:21" s="9" customFormat="1" ht="19.5" customHeight="1" x14ac:dyDescent="0.35">
      <c r="B15" s="257" t="s">
        <v>602</v>
      </c>
      <c r="C15" s="245">
        <v>36414.090000000004</v>
      </c>
      <c r="D15" s="254">
        <v>37655.425999999999</v>
      </c>
      <c r="E15" s="254">
        <v>38261.902728960005</v>
      </c>
      <c r="F15" s="254">
        <v>40734.31</v>
      </c>
      <c r="G15" s="254">
        <v>41401.213000000003</v>
      </c>
      <c r="H15" s="254">
        <v>41804.887999999999</v>
      </c>
      <c r="I15" s="254">
        <v>42568.436293589992</v>
      </c>
      <c r="J15" s="254">
        <v>43756.131999999998</v>
      </c>
      <c r="K15" s="985">
        <v>44335.247000000003</v>
      </c>
      <c r="L15" s="255">
        <v>45508.046000000002</v>
      </c>
      <c r="M15" s="246"/>
      <c r="N15" s="275">
        <f t="shared" si="0"/>
        <v>2.6452970928525499E-2</v>
      </c>
      <c r="O15" s="46"/>
      <c r="P15" s="875"/>
      <c r="Q15" s="698"/>
      <c r="R15" s="39"/>
    </row>
    <row r="16" spans="1:21" s="9" customFormat="1" ht="19.5" customHeight="1" x14ac:dyDescent="0.35">
      <c r="B16" s="257" t="s">
        <v>153</v>
      </c>
      <c r="C16" s="245">
        <v>14964.045999999998</v>
      </c>
      <c r="D16" s="254">
        <v>15579.439</v>
      </c>
      <c r="E16" s="254">
        <v>16223.018483140002</v>
      </c>
      <c r="F16" s="254">
        <v>16836.535</v>
      </c>
      <c r="G16" s="254">
        <v>17636.435000000001</v>
      </c>
      <c r="H16" s="254">
        <v>18083.401999999998</v>
      </c>
      <c r="I16" s="254">
        <v>18253.345890280001</v>
      </c>
      <c r="J16" s="254">
        <v>18744.081000000002</v>
      </c>
      <c r="K16" s="985">
        <v>20895.418000000001</v>
      </c>
      <c r="L16" s="255">
        <v>21742.986000000004</v>
      </c>
      <c r="M16" s="246"/>
      <c r="N16" s="275">
        <f t="shared" si="0"/>
        <v>4.0562385495231723E-2</v>
      </c>
      <c r="O16" s="38"/>
      <c r="P16" s="875"/>
      <c r="Q16" s="698"/>
      <c r="R16" s="39"/>
      <c r="S16" s="39"/>
    </row>
    <row r="17" spans="2:22" s="9" customFormat="1" ht="19.5" customHeight="1" x14ac:dyDescent="0.35">
      <c r="B17" s="257" t="s">
        <v>525</v>
      </c>
      <c r="C17" s="245"/>
      <c r="D17" s="254"/>
      <c r="E17" s="254"/>
      <c r="F17" s="254"/>
      <c r="G17" s="254"/>
      <c r="H17" s="254"/>
      <c r="I17" s="254"/>
      <c r="J17" s="254">
        <v>3470.1080000000002</v>
      </c>
      <c r="K17" s="985">
        <v>3451.0600000000004</v>
      </c>
      <c r="L17" s="255">
        <v>3502.1010000000001</v>
      </c>
      <c r="M17" s="246"/>
      <c r="N17" s="275">
        <f t="shared" si="0"/>
        <v>1.4789948595503866E-2</v>
      </c>
      <c r="O17" s="38"/>
      <c r="P17" s="875"/>
      <c r="Q17" s="698"/>
      <c r="R17" s="39"/>
      <c r="S17" s="39"/>
    </row>
    <row r="18" spans="2:22" s="9" customFormat="1" ht="19.5" customHeight="1" x14ac:dyDescent="0.35">
      <c r="B18" s="256" t="s">
        <v>526</v>
      </c>
      <c r="C18" s="245">
        <v>1263.875</v>
      </c>
      <c r="D18" s="254">
        <v>1269.2370000000001</v>
      </c>
      <c r="E18" s="254">
        <v>1255.1310222</v>
      </c>
      <c r="F18" s="254">
        <v>1294.8520000000001</v>
      </c>
      <c r="G18" s="254">
        <v>1308.5609999999999</v>
      </c>
      <c r="H18" s="254">
        <v>1403.528</v>
      </c>
      <c r="I18" s="254">
        <v>1410.9749619899999</v>
      </c>
      <c r="J18" s="254">
        <v>1352.048</v>
      </c>
      <c r="K18" s="985">
        <v>1348.066</v>
      </c>
      <c r="L18" s="255">
        <v>1321.288</v>
      </c>
      <c r="M18" s="246"/>
      <c r="N18" s="275">
        <f t="shared" si="0"/>
        <v>-1.9864012592855307E-2</v>
      </c>
      <c r="O18" s="38"/>
      <c r="P18" s="875"/>
      <c r="Q18" s="698"/>
      <c r="R18" s="68"/>
      <c r="S18" s="39"/>
      <c r="U18" s="38"/>
    </row>
    <row r="19" spans="2:22" s="9" customFormat="1" ht="19.5" customHeight="1" x14ac:dyDescent="0.35">
      <c r="B19" s="256" t="s">
        <v>527</v>
      </c>
      <c r="C19" s="245">
        <v>26.143999999999998</v>
      </c>
      <c r="D19" s="254">
        <v>26.140999999999998</v>
      </c>
      <c r="E19" s="254">
        <v>26.138280010000003</v>
      </c>
      <c r="F19" s="254">
        <v>26.135000000000002</v>
      </c>
      <c r="G19" s="254">
        <v>26.132999999999999</v>
      </c>
      <c r="H19" s="254">
        <v>26.13</v>
      </c>
      <c r="I19" s="254">
        <v>26.13</v>
      </c>
      <c r="J19" s="254">
        <v>261.73200000000003</v>
      </c>
      <c r="K19" s="985">
        <v>264.59699999999998</v>
      </c>
      <c r="L19" s="255">
        <v>264.59699999999998</v>
      </c>
      <c r="M19" s="246"/>
      <c r="N19" s="275">
        <f t="shared" si="0"/>
        <v>0</v>
      </c>
      <c r="O19" s="38"/>
      <c r="P19" s="875"/>
      <c r="Q19" s="698"/>
      <c r="R19" s="39"/>
      <c r="S19" s="38"/>
      <c r="U19" s="38"/>
    </row>
    <row r="20" spans="2:22" s="9" customFormat="1" ht="19.5" customHeight="1" x14ac:dyDescent="0.35">
      <c r="B20" s="256" t="s">
        <v>528</v>
      </c>
      <c r="C20" s="245">
        <v>320.041</v>
      </c>
      <c r="D20" s="254">
        <v>339.74599999999998</v>
      </c>
      <c r="E20" s="254">
        <v>359.01883919000005</v>
      </c>
      <c r="F20" s="254">
        <v>390.37</v>
      </c>
      <c r="G20" s="254">
        <v>389.92</v>
      </c>
      <c r="H20" s="254">
        <v>407.01400000000001</v>
      </c>
      <c r="I20" s="254">
        <v>421.34899999999999</v>
      </c>
      <c r="J20" s="254">
        <v>555.82600000000002</v>
      </c>
      <c r="K20" s="985">
        <v>590.83799999999997</v>
      </c>
      <c r="L20" s="255">
        <v>608.42899999999997</v>
      </c>
      <c r="M20" s="246"/>
      <c r="N20" s="275">
        <f t="shared" si="0"/>
        <v>2.9772966532281231E-2</v>
      </c>
      <c r="O20" s="38"/>
      <c r="P20" s="875"/>
      <c r="Q20" s="698"/>
      <c r="R20" s="39"/>
      <c r="S20" s="39"/>
      <c r="T20" s="39"/>
      <c r="U20" s="94"/>
      <c r="V20" s="38"/>
    </row>
    <row r="21" spans="2:22" s="9" customFormat="1" ht="19.5" customHeight="1" x14ac:dyDescent="0.35">
      <c r="B21" s="256" t="s">
        <v>529</v>
      </c>
      <c r="C21" s="245">
        <v>2528.9817922500001</v>
      </c>
      <c r="D21" s="254">
        <v>2600.5399731699999</v>
      </c>
      <c r="E21" s="254">
        <v>2573.9745949800003</v>
      </c>
      <c r="F21" s="254">
        <v>2545.0944952700002</v>
      </c>
      <c r="G21" s="254">
        <v>2553.9436663500001</v>
      </c>
      <c r="H21" s="254">
        <v>2580.855</v>
      </c>
      <c r="I21" s="254">
        <v>2587.3810536400001</v>
      </c>
      <c r="J21" s="254">
        <v>2813.2108746700001</v>
      </c>
      <c r="K21" s="985">
        <v>2774.7132753199999</v>
      </c>
      <c r="L21" s="255">
        <v>2790.2406550000001</v>
      </c>
      <c r="M21" s="246"/>
      <c r="N21" s="275">
        <f t="shared" si="0"/>
        <v>5.5960303423456814E-3</v>
      </c>
      <c r="O21" s="38"/>
      <c r="P21" s="875"/>
      <c r="Q21" s="698"/>
      <c r="S21" s="50"/>
    </row>
    <row r="22" spans="2:22" s="9" customFormat="1" ht="19.5" customHeight="1" x14ac:dyDescent="0.35">
      <c r="B22" s="256" t="s">
        <v>530</v>
      </c>
      <c r="C22" s="245">
        <v>5616.06</v>
      </c>
      <c r="D22" s="254">
        <v>5505.9870000000001</v>
      </c>
      <c r="E22" s="254">
        <v>5396.4491683299993</v>
      </c>
      <c r="F22" s="254">
        <v>5363.3379999999997</v>
      </c>
      <c r="G22" s="254">
        <v>5266.2749999999996</v>
      </c>
      <c r="H22" s="254">
        <v>5174.1779999999999</v>
      </c>
      <c r="I22" s="254">
        <v>5089.8809310200004</v>
      </c>
      <c r="J22" s="254">
        <v>5256.86</v>
      </c>
      <c r="K22" s="985">
        <v>5172.6419999999998</v>
      </c>
      <c r="L22" s="255">
        <v>5056.8270000000002</v>
      </c>
      <c r="M22" s="246"/>
      <c r="N22" s="275">
        <f t="shared" si="0"/>
        <v>-2.2389912157075531E-2</v>
      </c>
      <c r="O22" s="38"/>
      <c r="P22" s="875"/>
      <c r="Q22" s="698"/>
    </row>
    <row r="23" spans="2:22" s="9" customFormat="1" ht="19.5" customHeight="1" x14ac:dyDescent="0.35">
      <c r="B23" s="256" t="s">
        <v>531</v>
      </c>
      <c r="C23" s="245">
        <v>3156.7610000000004</v>
      </c>
      <c r="D23" s="254">
        <v>3223.2190000000001</v>
      </c>
      <c r="E23" s="254">
        <v>3119.5110587400004</v>
      </c>
      <c r="F23" s="254">
        <v>2613.9740000000002</v>
      </c>
      <c r="G23" s="254">
        <v>2473.0590000000002</v>
      </c>
      <c r="H23" s="254">
        <v>2612.3150000000001</v>
      </c>
      <c r="I23" s="254">
        <v>2595.4801648900002</v>
      </c>
      <c r="J23" s="254">
        <v>2870.9180000000001</v>
      </c>
      <c r="K23" s="985">
        <v>2780.0909999999999</v>
      </c>
      <c r="L23" s="255">
        <v>2869.3180000000002</v>
      </c>
      <c r="M23" s="246"/>
      <c r="N23" s="275">
        <f t="shared" si="0"/>
        <v>3.2094992573984182E-2</v>
      </c>
      <c r="O23" s="38"/>
      <c r="P23" s="875"/>
      <c r="Q23" s="698"/>
    </row>
    <row r="24" spans="2:22" s="9" customFormat="1" ht="19.5" customHeight="1" x14ac:dyDescent="0.35">
      <c r="B24" s="256" t="s">
        <v>636</v>
      </c>
      <c r="C24" s="245">
        <v>237.60400000000001</v>
      </c>
      <c r="D24" s="254">
        <v>218.11699999999999</v>
      </c>
      <c r="E24" s="254">
        <v>141.54714231999998</v>
      </c>
      <c r="F24" s="254">
        <v>465.03699999999998</v>
      </c>
      <c r="G24" s="254">
        <v>469.26400000000001</v>
      </c>
      <c r="H24" s="254">
        <v>420.88099999999997</v>
      </c>
      <c r="I24" s="254">
        <v>454.26683468999988</v>
      </c>
      <c r="J24" s="254">
        <v>390.97300000000001</v>
      </c>
      <c r="K24" s="985">
        <v>510.39100000000002</v>
      </c>
      <c r="L24" s="255">
        <v>505.09199999999998</v>
      </c>
      <c r="M24" s="246"/>
      <c r="N24" s="275">
        <f t="shared" si="0"/>
        <v>-1.03822363638858E-2</v>
      </c>
      <c r="O24" s="38"/>
      <c r="P24" s="875"/>
      <c r="Q24" s="698"/>
    </row>
    <row r="25" spans="2:22" s="9" customFormat="1" ht="29.25" customHeight="1" x14ac:dyDescent="0.2">
      <c r="B25" s="258" t="s">
        <v>532</v>
      </c>
      <c r="C25" s="247">
        <v>77250.432792250023</v>
      </c>
      <c r="D25" s="247">
        <v>76625.847973170006</v>
      </c>
      <c r="E25" s="247">
        <v>78790.432941050007</v>
      </c>
      <c r="F25" s="247">
        <v>80044.10249527001</v>
      </c>
      <c r="G25" s="247">
        <v>78820.243666349998</v>
      </c>
      <c r="H25" s="247">
        <v>81249.25999999998</v>
      </c>
      <c r="I25" s="247">
        <v>83059.418455009989</v>
      </c>
      <c r="J25" s="247">
        <v>90892.96687466999</v>
      </c>
      <c r="K25" s="268">
        <v>90018.65827532002</v>
      </c>
      <c r="L25" s="259">
        <v>94343.646655000019</v>
      </c>
      <c r="M25" s="246"/>
      <c r="N25" s="276">
        <f>L25/K25-1</f>
        <v>4.8045465934985598E-2</v>
      </c>
      <c r="O25" s="272"/>
      <c r="P25" s="875"/>
      <c r="Q25" s="698"/>
      <c r="R25" s="51"/>
      <c r="S25" s="68"/>
    </row>
    <row r="26" spans="2:22" s="9" customFormat="1" ht="18.75" customHeight="1" x14ac:dyDescent="0.35">
      <c r="B26" s="260"/>
      <c r="C26" s="248"/>
      <c r="D26" s="248"/>
      <c r="E26" s="261"/>
      <c r="F26" s="261"/>
      <c r="G26" s="261"/>
      <c r="H26" s="261"/>
      <c r="I26" s="261"/>
      <c r="J26" s="261"/>
      <c r="K26" s="986"/>
      <c r="L26" s="262"/>
      <c r="M26" s="246"/>
      <c r="N26" s="275"/>
    </row>
    <row r="27" spans="2:22" ht="19.5" customHeight="1" x14ac:dyDescent="0.35">
      <c r="B27" s="253" t="s">
        <v>10</v>
      </c>
      <c r="C27" s="248"/>
      <c r="D27" s="248"/>
      <c r="E27" s="261"/>
      <c r="F27" s="261"/>
      <c r="G27" s="261"/>
      <c r="H27" s="261"/>
      <c r="I27" s="261"/>
      <c r="J27" s="261"/>
      <c r="K27" s="986"/>
      <c r="L27" s="262"/>
      <c r="M27" s="244"/>
      <c r="N27" s="275"/>
    </row>
    <row r="28" spans="2:22" s="9" customFormat="1" ht="19.5" customHeight="1" x14ac:dyDescent="0.35">
      <c r="B28" s="256" t="s">
        <v>533</v>
      </c>
      <c r="C28" s="245">
        <v>6107.8720000000003</v>
      </c>
      <c r="D28" s="254">
        <v>3506.8319999999999</v>
      </c>
      <c r="E28" s="254">
        <v>3493.7685711099998</v>
      </c>
      <c r="F28" s="254">
        <v>2377.6129999999998</v>
      </c>
      <c r="G28" s="254">
        <v>2288.181</v>
      </c>
      <c r="H28" s="254">
        <v>2459.877</v>
      </c>
      <c r="I28" s="254">
        <v>2977.5934828599998</v>
      </c>
      <c r="J28" s="254">
        <v>3628.6060000000002</v>
      </c>
      <c r="K28" s="985">
        <v>3993.6750000000002</v>
      </c>
      <c r="L28" s="255">
        <v>4594.7830000000004</v>
      </c>
      <c r="M28" s="249"/>
      <c r="N28" s="275">
        <f>L28/K28-1</f>
        <v>0.1505150018466701</v>
      </c>
      <c r="O28" s="38"/>
      <c r="P28" s="875"/>
      <c r="Q28" s="698"/>
    </row>
    <row r="29" spans="2:22" s="9" customFormat="1" ht="19.5" customHeight="1" x14ac:dyDescent="0.35">
      <c r="B29" s="263" t="s">
        <v>38</v>
      </c>
      <c r="C29" s="245">
        <v>3500</v>
      </c>
      <c r="D29" s="254">
        <v>1000</v>
      </c>
      <c r="E29" s="254">
        <v>1000</v>
      </c>
      <c r="F29" s="254">
        <v>0</v>
      </c>
      <c r="G29" s="254">
        <v>0</v>
      </c>
      <c r="H29" s="254">
        <v>0</v>
      </c>
      <c r="I29" s="254">
        <v>0</v>
      </c>
      <c r="J29" s="254">
        <v>0</v>
      </c>
      <c r="K29" s="985">
        <v>0</v>
      </c>
      <c r="L29" s="255">
        <v>0</v>
      </c>
      <c r="M29" s="249"/>
      <c r="N29" s="275" t="s">
        <v>141</v>
      </c>
      <c r="O29" s="38"/>
      <c r="P29" s="875"/>
      <c r="Q29" s="698"/>
    </row>
    <row r="30" spans="2:22" s="9" customFormat="1" ht="19.5" customHeight="1" x14ac:dyDescent="0.35">
      <c r="B30" s="263" t="s">
        <v>39</v>
      </c>
      <c r="C30" s="245">
        <f t="shared" ref="C30:H30" si="1">C28-C29</f>
        <v>2607.8720000000003</v>
      </c>
      <c r="D30" s="254">
        <f t="shared" si="1"/>
        <v>2506.8319999999999</v>
      </c>
      <c r="E30" s="254">
        <f t="shared" si="1"/>
        <v>2493.7685711099998</v>
      </c>
      <c r="F30" s="254">
        <f t="shared" si="1"/>
        <v>2377.6129999999998</v>
      </c>
      <c r="G30" s="254">
        <f t="shared" si="1"/>
        <v>2288.181</v>
      </c>
      <c r="H30" s="254">
        <f t="shared" si="1"/>
        <v>2459.877</v>
      </c>
      <c r="I30" s="254">
        <f t="shared" ref="I30" si="2">I28-I29</f>
        <v>2977.5934828599998</v>
      </c>
      <c r="J30" s="254">
        <f t="shared" ref="J30" si="3">J28-J29</f>
        <v>3628.6060000000002</v>
      </c>
      <c r="K30" s="985">
        <f t="shared" ref="K30:L30" si="4">K28-K29</f>
        <v>3993.6750000000002</v>
      </c>
      <c r="L30" s="255">
        <f t="shared" si="4"/>
        <v>4594.7830000000004</v>
      </c>
      <c r="M30" s="249"/>
      <c r="N30" s="275">
        <f>L30/K30-1</f>
        <v>0.1505150018466701</v>
      </c>
      <c r="O30" s="38"/>
      <c r="P30" s="875"/>
      <c r="Q30" s="698"/>
    </row>
    <row r="31" spans="2:22" s="9" customFormat="1" ht="19.5" customHeight="1" x14ac:dyDescent="0.35">
      <c r="B31" s="256" t="s">
        <v>534</v>
      </c>
      <c r="C31" s="245">
        <v>9.7000000000000003E-2</v>
      </c>
      <c r="D31" s="254">
        <v>9.7000000000000003E-2</v>
      </c>
      <c r="E31" s="254">
        <v>9.7113550000000007E-2</v>
      </c>
      <c r="F31" s="254">
        <v>9.7000000000000003E-2</v>
      </c>
      <c r="G31" s="254">
        <v>0</v>
      </c>
      <c r="H31" s="254">
        <v>0</v>
      </c>
      <c r="I31" s="254">
        <v>0</v>
      </c>
      <c r="J31" s="254">
        <v>0</v>
      </c>
      <c r="K31" s="985">
        <v>17.994</v>
      </c>
      <c r="L31" s="255">
        <v>61.173999999999999</v>
      </c>
      <c r="M31" s="249"/>
      <c r="N31" s="275" t="s">
        <v>141</v>
      </c>
      <c r="O31" s="38"/>
      <c r="P31" s="875"/>
      <c r="Q31" s="698"/>
      <c r="R31" s="39"/>
      <c r="S31" s="39"/>
      <c r="T31" s="38"/>
      <c r="U31" s="94"/>
    </row>
    <row r="32" spans="2:22" s="9" customFormat="1" ht="19.5" customHeight="1" x14ac:dyDescent="0.35">
      <c r="B32" s="256" t="s">
        <v>334</v>
      </c>
      <c r="C32" s="245">
        <v>283.32299999999998</v>
      </c>
      <c r="D32" s="254">
        <v>296.51900000000001</v>
      </c>
      <c r="E32" s="254">
        <v>250.69169073</v>
      </c>
      <c r="F32" s="254">
        <v>255.2</v>
      </c>
      <c r="G32" s="254">
        <v>243.202</v>
      </c>
      <c r="H32" s="254">
        <v>242.45099999999999</v>
      </c>
      <c r="I32" s="254">
        <v>238.20874007</v>
      </c>
      <c r="J32" s="254">
        <v>253.36500000000001</v>
      </c>
      <c r="K32" s="985">
        <v>288.96199999999999</v>
      </c>
      <c r="L32" s="255">
        <v>249.54900000000001</v>
      </c>
      <c r="M32" s="249"/>
      <c r="N32" s="275">
        <f>L32/K32-1</f>
        <v>-0.13639509693316065</v>
      </c>
      <c r="O32" s="38"/>
      <c r="P32" s="875"/>
      <c r="Q32" s="698"/>
      <c r="S32" s="39"/>
    </row>
    <row r="33" spans="2:25" s="9" customFormat="1" ht="19.5" customHeight="1" x14ac:dyDescent="0.35">
      <c r="B33" s="256" t="s">
        <v>535</v>
      </c>
      <c r="C33" s="245">
        <v>58590.697999999997</v>
      </c>
      <c r="D33" s="254">
        <v>59757.434000000001</v>
      </c>
      <c r="E33" s="254">
        <v>60540.007188800002</v>
      </c>
      <c r="F33" s="254">
        <v>62852.860999999997</v>
      </c>
      <c r="G33" s="254">
        <v>61439.182000000001</v>
      </c>
      <c r="H33" s="254">
        <v>62858.322999999997</v>
      </c>
      <c r="I33" s="254">
        <v>63869.2175345</v>
      </c>
      <c r="J33" s="254">
        <v>66544.067999999999</v>
      </c>
      <c r="K33" s="985">
        <v>65331.317000000003</v>
      </c>
      <c r="L33" s="255">
        <v>68809.535999999993</v>
      </c>
      <c r="M33" s="246"/>
      <c r="N33" s="275">
        <f t="shared" ref="N33:N38" si="5">L33/K33-1</f>
        <v>5.3239689014687785E-2</v>
      </c>
      <c r="O33" s="38"/>
      <c r="P33" s="875"/>
      <c r="Q33" s="698"/>
      <c r="R33" s="69"/>
      <c r="S33" s="39"/>
      <c r="U33" s="39"/>
      <c r="W33" s="39"/>
      <c r="X33" s="38"/>
      <c r="Y33" s="38"/>
    </row>
    <row r="34" spans="2:25" s="13" customFormat="1" ht="19.5" customHeight="1" x14ac:dyDescent="0.35">
      <c r="B34" s="256" t="s">
        <v>536</v>
      </c>
      <c r="C34" s="245">
        <v>3002.3990000000003</v>
      </c>
      <c r="D34" s="254">
        <v>3428.4289999999996</v>
      </c>
      <c r="E34" s="254">
        <v>4358.7717403500001</v>
      </c>
      <c r="F34" s="254">
        <v>4518.1900000000005</v>
      </c>
      <c r="G34" s="254">
        <v>4424.9749999999995</v>
      </c>
      <c r="H34" s="254">
        <v>4923.2250000000004</v>
      </c>
      <c r="I34" s="254">
        <v>4887.7939999999999</v>
      </c>
      <c r="J34" s="254">
        <v>5700.4259999999995</v>
      </c>
      <c r="K34" s="985">
        <v>5388.73</v>
      </c>
      <c r="L34" s="255">
        <v>5391.8990000000003</v>
      </c>
      <c r="M34" s="246"/>
      <c r="N34" s="275">
        <f t="shared" si="5"/>
        <v>5.8807919491243865E-4</v>
      </c>
      <c r="O34" s="38"/>
      <c r="P34" s="875"/>
      <c r="Q34" s="698"/>
    </row>
    <row r="35" spans="2:25" s="13" customFormat="1" ht="19.5" customHeight="1" x14ac:dyDescent="0.35">
      <c r="B35" s="256" t="s">
        <v>537</v>
      </c>
      <c r="C35" s="245"/>
      <c r="D35" s="254"/>
      <c r="E35" s="254"/>
      <c r="F35" s="254"/>
      <c r="G35" s="254"/>
      <c r="H35" s="254"/>
      <c r="I35" s="254"/>
      <c r="J35" s="254">
        <v>3260.5559999999996</v>
      </c>
      <c r="K35" s="985">
        <v>3227.9459999999999</v>
      </c>
      <c r="L35" s="255">
        <v>3234.5590000000002</v>
      </c>
      <c r="M35" s="246"/>
      <c r="N35" s="275">
        <f t="shared" si="5"/>
        <v>2.0486711983411787E-3</v>
      </c>
      <c r="O35" s="38"/>
      <c r="P35" s="875"/>
      <c r="Q35" s="698"/>
    </row>
    <row r="36" spans="2:25" s="9" customFormat="1" ht="19.5" customHeight="1" x14ac:dyDescent="0.35">
      <c r="B36" s="256" t="s">
        <v>538</v>
      </c>
      <c r="C36" s="245">
        <v>9.702</v>
      </c>
      <c r="D36" s="254">
        <v>9.5609999999999999</v>
      </c>
      <c r="E36" s="254">
        <v>9.9992052399999984</v>
      </c>
      <c r="F36" s="254">
        <v>9.077</v>
      </c>
      <c r="G36" s="254">
        <v>9.0050000000000008</v>
      </c>
      <c r="H36" s="254">
        <v>9.3670000000000009</v>
      </c>
      <c r="I36" s="254">
        <v>10.81371214</v>
      </c>
      <c r="J36" s="254">
        <v>11.971</v>
      </c>
      <c r="K36" s="985">
        <v>11.058</v>
      </c>
      <c r="L36" s="255">
        <v>13.108000000000001</v>
      </c>
      <c r="M36" s="246"/>
      <c r="N36" s="275">
        <f t="shared" si="5"/>
        <v>0.18538614577681334</v>
      </c>
      <c r="O36" s="38"/>
      <c r="P36" s="875"/>
      <c r="Q36" s="698"/>
      <c r="R36" s="70"/>
    </row>
    <row r="37" spans="2:25" s="9" customFormat="1" ht="19.5" customHeight="1" x14ac:dyDescent="0.35">
      <c r="B37" s="256" t="s">
        <v>539</v>
      </c>
      <c r="C37" s="245">
        <v>50.595999999999997</v>
      </c>
      <c r="D37" s="254">
        <v>49.274999999999999</v>
      </c>
      <c r="E37" s="254">
        <v>49.374451899999997</v>
      </c>
      <c r="F37" s="254">
        <v>62.463000000000001</v>
      </c>
      <c r="G37" s="254">
        <v>58.704000000000001</v>
      </c>
      <c r="H37" s="254">
        <v>55.942999999999998</v>
      </c>
      <c r="I37" s="254">
        <v>54.584000000000003</v>
      </c>
      <c r="J37" s="254">
        <v>157.482</v>
      </c>
      <c r="K37" s="985">
        <v>157.375</v>
      </c>
      <c r="L37" s="255">
        <v>156.08099999999999</v>
      </c>
      <c r="M37" s="246"/>
      <c r="N37" s="275">
        <f t="shared" si="5"/>
        <v>-8.2223987291502043E-3</v>
      </c>
      <c r="O37" s="38"/>
      <c r="P37" s="875"/>
      <c r="Q37" s="698"/>
    </row>
    <row r="38" spans="2:25" s="9" customFormat="1" ht="19.5" customHeight="1" x14ac:dyDescent="0.35">
      <c r="B38" s="256" t="s">
        <v>540</v>
      </c>
      <c r="C38" s="245">
        <v>1615.1950000000002</v>
      </c>
      <c r="D38" s="254">
        <v>1773.2529999999999</v>
      </c>
      <c r="E38" s="254">
        <v>1937.4632054999997</v>
      </c>
      <c r="F38" s="254">
        <v>1695.8110000000001</v>
      </c>
      <c r="G38" s="254">
        <v>1769.4319999999998</v>
      </c>
      <c r="H38" s="254">
        <v>1835.384</v>
      </c>
      <c r="I38" s="254">
        <v>1894.6326229900001</v>
      </c>
      <c r="J38" s="254">
        <v>1957.7489999999998</v>
      </c>
      <c r="K38" s="985">
        <v>1955.059</v>
      </c>
      <c r="L38" s="255">
        <v>2042.7840000000001</v>
      </c>
      <c r="M38" s="246"/>
      <c r="N38" s="275">
        <f t="shared" si="5"/>
        <v>4.4870768605960398E-2</v>
      </c>
      <c r="O38" s="38"/>
      <c r="P38" s="875"/>
      <c r="Q38" s="698"/>
      <c r="R38" s="40"/>
    </row>
    <row r="39" spans="2:25" s="9" customFormat="1" ht="19.5" customHeight="1" x14ac:dyDescent="0.35">
      <c r="B39" s="256" t="s">
        <v>541</v>
      </c>
      <c r="C39" s="245">
        <v>0</v>
      </c>
      <c r="D39" s="254">
        <v>0</v>
      </c>
      <c r="E39" s="254">
        <v>0</v>
      </c>
      <c r="F39" s="254">
        <v>0</v>
      </c>
      <c r="G39" s="254">
        <v>0</v>
      </c>
      <c r="H39" s="254">
        <v>0</v>
      </c>
      <c r="I39" s="254">
        <v>0</v>
      </c>
      <c r="J39" s="254">
        <v>0</v>
      </c>
      <c r="K39" s="985">
        <v>0</v>
      </c>
      <c r="L39" s="255">
        <v>0</v>
      </c>
      <c r="M39" s="246"/>
      <c r="N39" s="275" t="s">
        <v>141</v>
      </c>
      <c r="O39" s="38"/>
      <c r="P39" s="875"/>
      <c r="Q39" s="698"/>
    </row>
    <row r="40" spans="2:25" s="9" customFormat="1" ht="29.25" customHeight="1" x14ac:dyDescent="0.2">
      <c r="B40" s="258" t="s">
        <v>542</v>
      </c>
      <c r="C40" s="247">
        <v>69659.882000000012</v>
      </c>
      <c r="D40" s="247">
        <v>68821.399999999994</v>
      </c>
      <c r="E40" s="247">
        <v>70640.173167180008</v>
      </c>
      <c r="F40" s="247">
        <v>71771.311999999991</v>
      </c>
      <c r="G40" s="247">
        <v>70232.680999999997</v>
      </c>
      <c r="H40" s="247">
        <v>72384.570000000007</v>
      </c>
      <c r="I40" s="247">
        <v>73932.844092560001</v>
      </c>
      <c r="J40" s="247">
        <v>81514.223000000013</v>
      </c>
      <c r="K40" s="268">
        <v>80372.115999999995</v>
      </c>
      <c r="L40" s="259">
        <v>84553.472999999984</v>
      </c>
      <c r="M40" s="246"/>
      <c r="N40" s="276">
        <f>L40/K40-1</f>
        <v>5.202497094887959E-2</v>
      </c>
      <c r="O40" s="38"/>
      <c r="P40" s="875"/>
      <c r="Q40" s="698"/>
      <c r="S40" s="51"/>
    </row>
    <row r="41" spans="2:25" s="9" customFormat="1" ht="19.5" customHeight="1" x14ac:dyDescent="0.35">
      <c r="B41" s="256" t="s">
        <v>543</v>
      </c>
      <c r="C41" s="245">
        <v>6935.3059999999996</v>
      </c>
      <c r="D41" s="254">
        <v>7148.027</v>
      </c>
      <c r="E41" s="254">
        <v>7477.2011014899999</v>
      </c>
      <c r="F41" s="254">
        <v>7616.7569999999996</v>
      </c>
      <c r="G41" s="254">
        <v>7917.0099999999993</v>
      </c>
      <c r="H41" s="254">
        <v>7791.1509999999989</v>
      </c>
      <c r="I41" s="254">
        <v>8047.9006562799996</v>
      </c>
      <c r="J41" s="254">
        <v>8095.1379999999999</v>
      </c>
      <c r="K41" s="985">
        <v>8362.7599999999984</v>
      </c>
      <c r="L41" s="255">
        <v>8629.9430000000011</v>
      </c>
      <c r="M41" s="246"/>
      <c r="N41" s="275">
        <f>L41/K41-1</f>
        <v>3.1949141192620933E-2</v>
      </c>
      <c r="P41" s="875"/>
      <c r="Q41" s="698"/>
    </row>
    <row r="42" spans="2:25" s="9" customFormat="1" ht="19.5" customHeight="1" x14ac:dyDescent="0.35">
      <c r="B42" s="256" t="s">
        <v>544</v>
      </c>
      <c r="C42" s="245">
        <v>600</v>
      </c>
      <c r="D42" s="254">
        <v>600</v>
      </c>
      <c r="E42" s="254">
        <v>600</v>
      </c>
      <c r="F42" s="254">
        <v>600</v>
      </c>
      <c r="G42" s="254">
        <v>600</v>
      </c>
      <c r="H42" s="254">
        <v>1000</v>
      </c>
      <c r="I42" s="254">
        <v>1000</v>
      </c>
      <c r="J42" s="254">
        <v>1204.1959999999999</v>
      </c>
      <c r="K42" s="985">
        <v>1204.1959999999999</v>
      </c>
      <c r="L42" s="255">
        <v>1000</v>
      </c>
      <c r="M42" s="246"/>
      <c r="N42" s="275">
        <f t="shared" ref="N42:N43" si="6">L42/K42-1</f>
        <v>-0.16957040216044561</v>
      </c>
      <c r="P42" s="875"/>
      <c r="Q42" s="698"/>
    </row>
    <row r="43" spans="2:25" s="9" customFormat="1" ht="19.5" customHeight="1" x14ac:dyDescent="0.35">
      <c r="B43" s="256" t="s">
        <v>545</v>
      </c>
      <c r="C43" s="245">
        <v>55.247</v>
      </c>
      <c r="D43" s="254">
        <v>56.423000000000002</v>
      </c>
      <c r="E43" s="254">
        <v>73.058672340000001</v>
      </c>
      <c r="F43" s="254">
        <v>56.034999999999997</v>
      </c>
      <c r="G43" s="254">
        <v>70.557000000000002</v>
      </c>
      <c r="H43" s="254">
        <v>73.540000000000006</v>
      </c>
      <c r="I43" s="254">
        <v>78.674361270000006</v>
      </c>
      <c r="J43" s="254">
        <v>79.411000000000001</v>
      </c>
      <c r="K43" s="985">
        <v>79.587000000000003</v>
      </c>
      <c r="L43" s="255">
        <v>160.22999999999999</v>
      </c>
      <c r="M43" s="246"/>
      <c r="N43" s="275">
        <f t="shared" si="6"/>
        <v>1.0132684986241469</v>
      </c>
      <c r="P43" s="875"/>
      <c r="Q43" s="698"/>
    </row>
    <row r="44" spans="2:25" s="9" customFormat="1" ht="19.5" customHeight="1" x14ac:dyDescent="0.2">
      <c r="B44" s="258" t="s">
        <v>546</v>
      </c>
      <c r="C44" s="251">
        <v>7590.5529999999999</v>
      </c>
      <c r="D44" s="251">
        <v>7804.45</v>
      </c>
      <c r="E44" s="251">
        <v>8150.2597738300001</v>
      </c>
      <c r="F44" s="251">
        <v>8272.7919999999976</v>
      </c>
      <c r="G44" s="251">
        <v>8587.5669999999991</v>
      </c>
      <c r="H44" s="251">
        <v>8864.6910000000007</v>
      </c>
      <c r="I44" s="251">
        <v>9126.5750175499979</v>
      </c>
      <c r="J44" s="251">
        <v>9378.7450000000008</v>
      </c>
      <c r="K44" s="269">
        <v>9646.5429999999978</v>
      </c>
      <c r="L44" s="264">
        <v>9790.1730000000007</v>
      </c>
      <c r="M44" s="246"/>
      <c r="N44" s="276">
        <f>L44/K44-1</f>
        <v>1.4889271731852727E-2</v>
      </c>
      <c r="O44" s="38"/>
      <c r="P44" s="875"/>
      <c r="Q44" s="698"/>
      <c r="S44" s="38"/>
    </row>
    <row r="45" spans="2:25" s="9" customFormat="1" ht="19.5" customHeight="1" x14ac:dyDescent="0.35">
      <c r="B45" s="256" t="s">
        <v>547</v>
      </c>
      <c r="C45" s="248">
        <f t="shared" ref="C45:E45" si="7">C44-C43-C42-C20-C19</f>
        <v>6589.1209999999992</v>
      </c>
      <c r="D45" s="261">
        <f t="shared" si="7"/>
        <v>6782.14</v>
      </c>
      <c r="E45" s="261">
        <f t="shared" si="7"/>
        <v>7092.0439822899998</v>
      </c>
      <c r="F45" s="261">
        <v>7200.2519999999977</v>
      </c>
      <c r="G45" s="261">
        <v>7500.9569999999985</v>
      </c>
      <c r="H45" s="261">
        <v>7358.0069999999996</v>
      </c>
      <c r="I45" s="261">
        <v>7600.4216562799984</v>
      </c>
      <c r="J45" s="261">
        <v>7277.5800000000008</v>
      </c>
      <c r="K45" s="986">
        <v>7507.3249999999989</v>
      </c>
      <c r="L45" s="262">
        <v>7756.9170000000013</v>
      </c>
      <c r="M45" s="246"/>
      <c r="N45" s="275">
        <f>L45/K45-1</f>
        <v>3.3246462621506545E-2</v>
      </c>
      <c r="O45" s="38"/>
      <c r="P45" s="875"/>
      <c r="Q45" s="698"/>
    </row>
    <row r="46" spans="2:25" s="9" customFormat="1" ht="29.25" customHeight="1" x14ac:dyDescent="0.2">
      <c r="B46" s="265" t="s">
        <v>548</v>
      </c>
      <c r="C46" s="266">
        <v>77250.435000000012</v>
      </c>
      <c r="D46" s="266">
        <v>76625.849999999991</v>
      </c>
      <c r="E46" s="266">
        <v>78790.432941010004</v>
      </c>
      <c r="F46" s="266">
        <v>80044.103999999992</v>
      </c>
      <c r="G46" s="266">
        <v>78820.247999999992</v>
      </c>
      <c r="H46" s="266">
        <v>81249.261000000013</v>
      </c>
      <c r="I46" s="266">
        <v>83059.41911011</v>
      </c>
      <c r="J46" s="266">
        <v>90892.968000000008</v>
      </c>
      <c r="K46" s="270">
        <v>90018.658999999985</v>
      </c>
      <c r="L46" s="267">
        <v>94343.645999999979</v>
      </c>
      <c r="M46" s="246"/>
      <c r="N46" s="277">
        <f>L46/K46-1</f>
        <v>4.8045450221603447E-2</v>
      </c>
      <c r="O46" s="38"/>
      <c r="P46" s="876"/>
      <c r="Q46" s="698"/>
    </row>
    <row r="47" spans="2:25" ht="12.75" customHeight="1" x14ac:dyDescent="0.2">
      <c r="B47" s="250"/>
      <c r="C47" s="250"/>
      <c r="D47" s="250"/>
      <c r="E47" s="250"/>
      <c r="F47" s="250"/>
      <c r="G47" s="250"/>
      <c r="H47" s="250"/>
      <c r="I47" s="250"/>
      <c r="J47" s="250"/>
      <c r="K47" s="250"/>
      <c r="L47" s="250"/>
      <c r="M47" s="244"/>
      <c r="N47" s="250"/>
      <c r="Q47" s="698"/>
    </row>
    <row r="48" spans="2:25" ht="18" customHeight="1" x14ac:dyDescent="0.2">
      <c r="B48" s="1099"/>
      <c r="C48" s="1099"/>
      <c r="D48" s="1099"/>
      <c r="E48" s="1099"/>
      <c r="F48" s="1099"/>
      <c r="G48" s="1099"/>
      <c r="H48" s="1099"/>
      <c r="I48" s="1099"/>
      <c r="J48" s="1099"/>
      <c r="K48" s="1099"/>
      <c r="L48" s="1099"/>
      <c r="M48" s="1099"/>
      <c r="N48" s="1099"/>
    </row>
    <row r="49" spans="2:14" ht="18" customHeight="1" x14ac:dyDescent="0.2">
      <c r="B49" s="1099"/>
      <c r="C49" s="1099"/>
      <c r="D49" s="1099"/>
      <c r="E49" s="1099"/>
      <c r="F49" s="1099"/>
      <c r="G49" s="1099"/>
      <c r="H49" s="1099"/>
      <c r="I49" s="1099"/>
      <c r="J49" s="1099"/>
      <c r="K49" s="1099"/>
      <c r="L49" s="1099"/>
      <c r="M49" s="1099"/>
      <c r="N49" s="1099"/>
    </row>
    <row r="50" spans="2:14" x14ac:dyDescent="0.2">
      <c r="B50" s="1099"/>
      <c r="C50" s="1099"/>
      <c r="D50" s="1099"/>
      <c r="E50" s="1099"/>
      <c r="F50" s="1099"/>
      <c r="G50" s="1099"/>
      <c r="H50" s="1099"/>
      <c r="I50" s="1099"/>
      <c r="J50" s="1099"/>
      <c r="K50" s="1099"/>
      <c r="L50" s="1099"/>
      <c r="M50" s="1099"/>
      <c r="N50" s="1099"/>
    </row>
    <row r="51" spans="2:14" x14ac:dyDescent="0.2">
      <c r="B51" s="1099"/>
      <c r="C51" s="1099"/>
      <c r="D51" s="1099"/>
      <c r="E51" s="1099"/>
      <c r="F51" s="1099"/>
      <c r="G51" s="1099"/>
      <c r="H51" s="1099"/>
      <c r="I51" s="1099"/>
      <c r="J51" s="1099"/>
      <c r="K51" s="1099"/>
      <c r="L51" s="1099"/>
      <c r="M51" s="1099"/>
      <c r="N51" s="1099"/>
    </row>
    <row r="52" spans="2:14" x14ac:dyDescent="0.2">
      <c r="B52" s="1099"/>
      <c r="C52" s="1099"/>
      <c r="D52" s="1099"/>
      <c r="E52" s="1099"/>
      <c r="F52" s="1099"/>
      <c r="G52" s="1099"/>
      <c r="H52" s="1099"/>
      <c r="I52" s="1099"/>
      <c r="J52" s="1099"/>
      <c r="K52" s="1099"/>
      <c r="L52" s="1099"/>
      <c r="M52" s="1099"/>
      <c r="N52" s="1099"/>
    </row>
    <row r="53" spans="2:14" ht="15.75" customHeight="1" x14ac:dyDescent="0.2">
      <c r="B53" s="1099"/>
      <c r="C53" s="1099"/>
      <c r="D53" s="1099"/>
      <c r="E53" s="1099"/>
      <c r="F53" s="1099"/>
      <c r="G53" s="1099"/>
      <c r="H53" s="1099"/>
      <c r="I53" s="1099"/>
      <c r="J53" s="1099"/>
      <c r="K53" s="1099"/>
      <c r="L53" s="1099"/>
      <c r="M53" s="1099"/>
      <c r="N53" s="1099"/>
    </row>
    <row r="54" spans="2:14" x14ac:dyDescent="0.2">
      <c r="B54" s="1099"/>
      <c r="C54" s="1099"/>
      <c r="D54" s="1099"/>
      <c r="E54" s="1099"/>
      <c r="F54" s="1099"/>
      <c r="G54" s="1099"/>
      <c r="H54" s="1099"/>
      <c r="I54" s="1099"/>
      <c r="J54" s="1099"/>
      <c r="K54" s="1099"/>
      <c r="L54" s="1099"/>
      <c r="M54" s="1099"/>
      <c r="N54" s="1099"/>
    </row>
    <row r="55" spans="2:14" x14ac:dyDescent="0.2">
      <c r="B55" s="1099"/>
      <c r="C55" s="1099"/>
      <c r="D55" s="1099"/>
      <c r="E55" s="1099"/>
      <c r="F55" s="1099"/>
      <c r="G55" s="1099"/>
      <c r="H55" s="1099"/>
      <c r="I55" s="1099"/>
      <c r="J55" s="1099"/>
      <c r="K55" s="1099"/>
      <c r="L55" s="1099"/>
      <c r="M55" s="1099"/>
      <c r="N55" s="1099"/>
    </row>
    <row r="56" spans="2:14" x14ac:dyDescent="0.2">
      <c r="B56" s="1099"/>
      <c r="C56" s="1099"/>
      <c r="D56" s="1099"/>
      <c r="E56" s="1099"/>
      <c r="F56" s="1099"/>
      <c r="G56" s="1099"/>
      <c r="H56" s="1099"/>
      <c r="I56" s="1099"/>
      <c r="J56" s="1099"/>
      <c r="K56" s="1099"/>
      <c r="L56" s="1099"/>
      <c r="M56" s="1099"/>
      <c r="N56" s="1099"/>
    </row>
    <row r="57" spans="2:14" x14ac:dyDescent="0.2">
      <c r="B57" s="1099"/>
      <c r="C57" s="1099"/>
      <c r="D57" s="1099"/>
      <c r="E57" s="1099"/>
      <c r="F57" s="1099"/>
      <c r="G57" s="1099"/>
      <c r="H57" s="1099"/>
      <c r="I57" s="1099"/>
      <c r="J57" s="1099"/>
      <c r="K57" s="1099"/>
      <c r="L57" s="1099"/>
      <c r="M57" s="1099"/>
      <c r="N57" s="1099"/>
    </row>
    <row r="58" spans="2:14" x14ac:dyDescent="0.2">
      <c r="B58" s="1099"/>
      <c r="C58" s="1099"/>
      <c r="D58" s="1099"/>
      <c r="E58" s="1099"/>
      <c r="F58" s="1099"/>
      <c r="G58" s="1099"/>
      <c r="H58" s="1099"/>
      <c r="I58" s="1099"/>
      <c r="J58" s="1099"/>
      <c r="K58" s="1099"/>
      <c r="L58" s="1099"/>
      <c r="M58" s="1099"/>
      <c r="N58" s="1099"/>
    </row>
    <row r="59" spans="2:14" x14ac:dyDescent="0.2">
      <c r="B59" s="1099"/>
      <c r="C59" s="1099"/>
      <c r="D59" s="1099"/>
      <c r="E59" s="1099"/>
      <c r="F59" s="1099"/>
      <c r="G59" s="1099"/>
      <c r="H59" s="1099"/>
      <c r="I59" s="1099"/>
      <c r="J59" s="1099"/>
      <c r="K59" s="1099"/>
      <c r="L59" s="1099"/>
      <c r="M59" s="1099"/>
      <c r="N59" s="1099"/>
    </row>
  </sheetData>
  <mergeCells count="13">
    <mergeCell ref="B59:N59"/>
    <mergeCell ref="B58:N58"/>
    <mergeCell ref="B57:N57"/>
    <mergeCell ref="B56:N56"/>
    <mergeCell ref="B55:N55"/>
    <mergeCell ref="B54:N54"/>
    <mergeCell ref="B5:N5"/>
    <mergeCell ref="B51:N51"/>
    <mergeCell ref="B53:N53"/>
    <mergeCell ref="B50:N50"/>
    <mergeCell ref="B49:N49"/>
    <mergeCell ref="B48:N48"/>
    <mergeCell ref="B52:N52"/>
  </mergeCells>
  <hyperlinks>
    <hyperlink ref="N2" location="'Cover '!A1" display="Back to Cover" xr:uid="{00000000-0004-0000-0100-000000000000}"/>
  </hyperlinks>
  <printOptions horizontalCentered="1" verticalCentered="1"/>
  <pageMargins left="0" right="0" top="0" bottom="0" header="0" footer="0"/>
  <pageSetup paperSize="8" scale="7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P87"/>
  <sheetViews>
    <sheetView showGridLines="0" view="pageBreakPreview" zoomScale="90" zoomScaleNormal="90" zoomScaleSheetLayoutView="90" workbookViewId="0">
      <pane xSplit="2" ySplit="8" topLeftCell="C9" activePane="bottomRight" state="frozen"/>
      <selection activeCell="M28" sqref="M28"/>
      <selection pane="topRight" activeCell="M28" sqref="M28"/>
      <selection pane="bottomLeft" activeCell="M28" sqref="M28"/>
      <selection pane="bottomRight" activeCell="B61" sqref="B61:L61"/>
    </sheetView>
  </sheetViews>
  <sheetFormatPr defaultColWidth="9.140625" defaultRowHeight="12.75" x14ac:dyDescent="0.2"/>
  <cols>
    <col min="1" max="1" width="2.42578125" style="10" customWidth="1"/>
    <col min="2" max="2" width="82.85546875" style="10" customWidth="1"/>
    <col min="3" max="12" width="15" style="10" customWidth="1"/>
    <col min="13" max="13" width="2.42578125" style="10" customWidth="1"/>
    <col min="14" max="14" width="11.28515625" style="10" bestFit="1" customWidth="1"/>
    <col min="15" max="15" width="15" style="10" customWidth="1"/>
    <col min="16" max="16" width="9.85546875" style="10" bestFit="1" customWidth="1"/>
    <col min="17" max="16384" width="9.140625" style="10"/>
  </cols>
  <sheetData>
    <row r="1" spans="1:15" s="6" customFormat="1" ht="15.75" customHeight="1" x14ac:dyDescent="0.2">
      <c r="B1" s="10"/>
      <c r="C1" s="111"/>
      <c r="D1" s="111"/>
      <c r="E1" s="111"/>
      <c r="F1" s="111"/>
      <c r="G1" s="111"/>
      <c r="H1" s="111"/>
      <c r="I1" s="111"/>
      <c r="J1" s="111"/>
      <c r="K1" s="111"/>
      <c r="L1" s="111"/>
    </row>
    <row r="2" spans="1:15" s="6" customFormat="1" ht="15.75" customHeight="1" x14ac:dyDescent="0.2">
      <c r="B2" s="10"/>
      <c r="C2" s="110"/>
      <c r="D2" s="110"/>
      <c r="E2" s="110"/>
      <c r="F2" s="110"/>
      <c r="G2" s="110"/>
      <c r="H2" s="110"/>
      <c r="I2" s="110"/>
      <c r="J2" s="110"/>
      <c r="K2" s="110"/>
      <c r="L2" s="112" t="s">
        <v>18</v>
      </c>
    </row>
    <row r="3" spans="1:15" s="6" customFormat="1" ht="15.75" customHeight="1" x14ac:dyDescent="0.2">
      <c r="B3" s="10"/>
      <c r="C3" s="8"/>
      <c r="D3" s="8"/>
      <c r="E3" s="8"/>
      <c r="F3" s="8"/>
      <c r="G3" s="8"/>
      <c r="H3" s="8"/>
      <c r="I3" s="8"/>
      <c r="J3" s="8"/>
      <c r="K3" s="8"/>
    </row>
    <row r="4" spans="1:15" ht="15.75" customHeight="1" x14ac:dyDescent="0.2"/>
    <row r="5" spans="1:15" s="17" customFormat="1" ht="28.5" x14ac:dyDescent="0.2">
      <c r="A5" s="16"/>
      <c r="B5" s="1091" t="s">
        <v>23</v>
      </c>
      <c r="C5" s="1091"/>
      <c r="D5" s="1091"/>
      <c r="E5" s="1091"/>
      <c r="F5" s="1091"/>
      <c r="G5" s="1091"/>
      <c r="H5" s="1091"/>
      <c r="I5" s="1091"/>
      <c r="J5" s="1091"/>
      <c r="K5" s="1091"/>
      <c r="L5" s="1091"/>
    </row>
    <row r="6" spans="1:15" s="17" customFormat="1" ht="9" customHeight="1" x14ac:dyDescent="0.2">
      <c r="A6" s="16"/>
      <c r="B6" s="18"/>
      <c r="C6" s="18"/>
      <c r="D6" s="18"/>
      <c r="E6" s="18"/>
      <c r="F6" s="18"/>
      <c r="G6" s="18"/>
      <c r="H6" s="18"/>
      <c r="I6" s="18"/>
      <c r="J6" s="18"/>
      <c r="K6" s="18"/>
      <c r="L6" s="18"/>
    </row>
    <row r="7" spans="1:15" s="6" customFormat="1" ht="9" customHeight="1" x14ac:dyDescent="0.2">
      <c r="B7" s="10"/>
      <c r="C7" s="32"/>
      <c r="D7" s="32"/>
      <c r="E7" s="32"/>
      <c r="F7" s="32"/>
      <c r="G7" s="32"/>
      <c r="H7" s="32"/>
      <c r="I7" s="32"/>
      <c r="J7" s="32"/>
      <c r="K7" s="32"/>
      <c r="L7" s="32"/>
    </row>
    <row r="8" spans="1:15" s="6" customFormat="1" ht="16.5" customHeight="1" x14ac:dyDescent="0.2">
      <c r="B8" s="138" t="s">
        <v>0</v>
      </c>
      <c r="C8" s="279"/>
      <c r="D8" s="279"/>
      <c r="E8" s="279"/>
      <c r="F8" s="279"/>
      <c r="G8" s="279"/>
      <c r="H8" s="279"/>
      <c r="I8" s="279"/>
      <c r="J8" s="279"/>
      <c r="K8" s="279"/>
      <c r="L8" s="279"/>
    </row>
    <row r="9" spans="1:15" s="6" customFormat="1" ht="28.5" customHeight="1" x14ac:dyDescent="0.2">
      <c r="B9" s="288" t="s">
        <v>12</v>
      </c>
      <c r="C9" s="289">
        <v>45382</v>
      </c>
      <c r="D9" s="289">
        <v>45473</v>
      </c>
      <c r="E9" s="289">
        <v>45565</v>
      </c>
      <c r="F9" s="289">
        <v>45657</v>
      </c>
      <c r="G9" s="289">
        <v>45747</v>
      </c>
      <c r="H9" s="289">
        <v>45838</v>
      </c>
      <c r="I9" s="289">
        <v>45930</v>
      </c>
      <c r="J9" s="289">
        <v>46022</v>
      </c>
      <c r="K9" s="305">
        <v>46112</v>
      </c>
      <c r="L9" s="290">
        <v>46203</v>
      </c>
    </row>
    <row r="10" spans="1:15" s="9" customFormat="1" ht="20.25" customHeight="1" x14ac:dyDescent="0.2">
      <c r="B10" s="296" t="s">
        <v>184</v>
      </c>
      <c r="C10" s="281">
        <v>23201.651681614287</v>
      </c>
      <c r="D10" s="280">
        <v>24411.450497349593</v>
      </c>
      <c r="E10" s="280">
        <v>25073.099875854758</v>
      </c>
      <c r="F10" s="280">
        <v>26685.010276251669</v>
      </c>
      <c r="G10" s="280">
        <v>27847.635854964043</v>
      </c>
      <c r="H10" s="280">
        <v>28853.376471143194</v>
      </c>
      <c r="I10" s="145">
        <v>29657.32984573871</v>
      </c>
      <c r="J10" s="145">
        <v>29966.926922994233</v>
      </c>
      <c r="K10" s="977">
        <v>31259.249144747024</v>
      </c>
      <c r="L10" s="1033">
        <v>31661.717803606174</v>
      </c>
      <c r="O10" s="39"/>
    </row>
    <row r="11" spans="1:15" s="9" customFormat="1" ht="20.25" customHeight="1" x14ac:dyDescent="0.2">
      <c r="B11" s="296" t="s">
        <v>433</v>
      </c>
      <c r="C11" s="146"/>
      <c r="D11" s="145"/>
      <c r="E11" s="145"/>
      <c r="F11" s="145">
        <v>919.36909000000003</v>
      </c>
      <c r="G11" s="145">
        <v>574</v>
      </c>
      <c r="H11" s="145"/>
      <c r="I11" s="145"/>
      <c r="J11" s="145">
        <v>801.49804900000004</v>
      </c>
      <c r="K11" s="978">
        <v>150</v>
      </c>
      <c r="L11" s="201">
        <v>945</v>
      </c>
      <c r="N11" s="39"/>
    </row>
    <row r="12" spans="1:15" s="9" customFormat="1" ht="20.25" customHeight="1" x14ac:dyDescent="0.2">
      <c r="B12" s="296" t="s">
        <v>185</v>
      </c>
      <c r="C12" s="146">
        <v>5902.6959318857143</v>
      </c>
      <c r="D12" s="145">
        <v>5848.6639154404074</v>
      </c>
      <c r="E12" s="145">
        <v>5787.4663144752458</v>
      </c>
      <c r="F12" s="145">
        <v>5721.6914667183264</v>
      </c>
      <c r="G12" s="145">
        <v>5656.0063548559601</v>
      </c>
      <c r="H12" s="145">
        <v>5572.9545994468053</v>
      </c>
      <c r="I12" s="145">
        <v>5495.3634939712865</v>
      </c>
      <c r="J12" s="145">
        <v>5457.6334269657673</v>
      </c>
      <c r="K12" s="978">
        <v>5377.5140200029764</v>
      </c>
      <c r="L12" s="201">
        <v>5306.9041597838213</v>
      </c>
      <c r="O12" s="39"/>
    </row>
    <row r="13" spans="1:15" s="9" customFormat="1" ht="20.25" customHeight="1" x14ac:dyDescent="0.2">
      <c r="B13" s="295" t="s">
        <v>63</v>
      </c>
      <c r="C13" s="142">
        <v>6425.0518739300005</v>
      </c>
      <c r="D13" s="143">
        <v>6420.10007391</v>
      </c>
      <c r="E13" s="143">
        <v>6420.8979262899993</v>
      </c>
      <c r="F13" s="143">
        <v>6304.6838918200001</v>
      </c>
      <c r="G13" s="143">
        <v>6251.5761441100003</v>
      </c>
      <c r="H13" s="143">
        <v>6274.6079953099998</v>
      </c>
      <c r="I13" s="143">
        <v>6318.6098259999999</v>
      </c>
      <c r="J13" s="143">
        <v>6416.9371659999997</v>
      </c>
      <c r="K13" s="979">
        <v>6446.9397740000004</v>
      </c>
      <c r="L13" s="200">
        <v>6484.7503189999998</v>
      </c>
      <c r="O13" s="39"/>
    </row>
    <row r="14" spans="1:15" s="9" customFormat="1" ht="20.25" customHeight="1" x14ac:dyDescent="0.2">
      <c r="B14" s="295" t="s">
        <v>64</v>
      </c>
      <c r="C14" s="142">
        <v>1668.636293</v>
      </c>
      <c r="D14" s="143">
        <v>1718.3245320000001</v>
      </c>
      <c r="E14" s="143">
        <v>1754.779745</v>
      </c>
      <c r="F14" s="143">
        <v>1794.6513420000001</v>
      </c>
      <c r="G14" s="143">
        <v>1776.673057</v>
      </c>
      <c r="H14" s="143">
        <v>1840.7506639999999</v>
      </c>
      <c r="I14" s="143">
        <v>1887.7544109999999</v>
      </c>
      <c r="J14" s="143">
        <v>1850.23909</v>
      </c>
      <c r="K14" s="979">
        <v>1859.0919749999998</v>
      </c>
      <c r="L14" s="200">
        <v>1911.480865</v>
      </c>
      <c r="O14" s="39"/>
    </row>
    <row r="15" spans="1:15" s="9" customFormat="1" ht="20.25" customHeight="1" x14ac:dyDescent="0.2">
      <c r="B15" s="296" t="s">
        <v>65</v>
      </c>
      <c r="C15" s="281">
        <f t="shared" ref="C15:G15" si="0">C13+C14</f>
        <v>8093.6881669300001</v>
      </c>
      <c r="D15" s="281">
        <f t="shared" si="0"/>
        <v>8138.4246059100005</v>
      </c>
      <c r="E15" s="281">
        <f t="shared" si="0"/>
        <v>8175.6776712899991</v>
      </c>
      <c r="F15" s="281">
        <f t="shared" si="0"/>
        <v>8099.3352338200002</v>
      </c>
      <c r="G15" s="280">
        <f t="shared" si="0"/>
        <v>8028.2492011100003</v>
      </c>
      <c r="H15" s="280">
        <f>H13+H14</f>
        <v>8115.3586593099999</v>
      </c>
      <c r="I15" s="280">
        <f>I13+I14</f>
        <v>8206.3642369999998</v>
      </c>
      <c r="J15" s="280">
        <f>J13+J14</f>
        <v>8267.1762559999988</v>
      </c>
      <c r="K15" s="946">
        <f>K13+K14</f>
        <v>8306.0317489999998</v>
      </c>
      <c r="L15" s="291">
        <f>L13+L14</f>
        <v>8396.2311840000002</v>
      </c>
    </row>
    <row r="16" spans="1:15" s="9" customFormat="1" ht="20.25" customHeight="1" x14ac:dyDescent="0.2">
      <c r="B16" s="296" t="s">
        <v>186</v>
      </c>
      <c r="C16" s="281">
        <f t="shared" ref="C16:G16" si="1">C10+C11+C12+C15</f>
        <v>37198.03578043</v>
      </c>
      <c r="D16" s="281">
        <f t="shared" si="1"/>
        <v>38398.539018700001</v>
      </c>
      <c r="E16" s="281">
        <f t="shared" si="1"/>
        <v>39036.243861620002</v>
      </c>
      <c r="F16" s="281">
        <f t="shared" si="1"/>
        <v>41425.406066789998</v>
      </c>
      <c r="G16" s="280">
        <f t="shared" si="1"/>
        <v>42105.891410930009</v>
      </c>
      <c r="H16" s="280">
        <f>H10+H11+H12+H15</f>
        <v>42541.689729899997</v>
      </c>
      <c r="I16" s="280">
        <f>I10+I11+I12+I15</f>
        <v>43359.057576709994</v>
      </c>
      <c r="J16" s="280">
        <f>J10+J11+J12+J15</f>
        <v>44493.234654959997</v>
      </c>
      <c r="K16" s="946">
        <f>K10+K11+K12+K15</f>
        <v>45092.794913750004</v>
      </c>
      <c r="L16" s="291">
        <f>L10+L11+L12+L15</f>
        <v>46309.853147389993</v>
      </c>
      <c r="N16" s="39"/>
      <c r="O16" s="39"/>
    </row>
    <row r="17" spans="2:15" s="9" customFormat="1" ht="20.25" customHeight="1" x14ac:dyDescent="0.2">
      <c r="B17" s="296"/>
      <c r="C17" s="281"/>
      <c r="D17" s="280"/>
      <c r="E17" s="280"/>
      <c r="F17" s="280"/>
      <c r="G17" s="280"/>
      <c r="H17" s="280"/>
      <c r="I17" s="280"/>
      <c r="J17" s="280"/>
      <c r="K17" s="946"/>
      <c r="L17" s="291"/>
    </row>
    <row r="18" spans="2:15" s="9" customFormat="1" ht="20.25" customHeight="1" x14ac:dyDescent="0.2">
      <c r="B18" s="297" t="s">
        <v>21</v>
      </c>
      <c r="C18" s="281"/>
      <c r="D18" s="280"/>
      <c r="E18" s="280"/>
      <c r="F18" s="280"/>
      <c r="G18" s="280"/>
      <c r="H18" s="280"/>
      <c r="I18" s="280"/>
      <c r="J18" s="280"/>
      <c r="K18" s="946"/>
      <c r="L18" s="291"/>
    </row>
    <row r="19" spans="2:15" s="9" customFormat="1" ht="20.25" customHeight="1" x14ac:dyDescent="0.2">
      <c r="B19" s="296" t="s">
        <v>184</v>
      </c>
      <c r="C19" s="160">
        <f t="shared" ref="C19:H19" si="2">+C10/C$16</f>
        <v>0.62373324813620257</v>
      </c>
      <c r="D19" s="154">
        <f t="shared" si="2"/>
        <v>0.63573904427617078</v>
      </c>
      <c r="E19" s="154">
        <f t="shared" si="2"/>
        <v>0.6423030854284203</v>
      </c>
      <c r="F19" s="154">
        <f t="shared" si="2"/>
        <v>0.644170155706562</v>
      </c>
      <c r="G19" s="154">
        <f t="shared" si="2"/>
        <v>0.66137148322515371</v>
      </c>
      <c r="H19" s="154">
        <f t="shared" si="2"/>
        <v>0.67823766884520076</v>
      </c>
      <c r="I19" s="154">
        <f t="shared" ref="I19:I25" si="3">+I10/I$16</f>
        <v>0.68399387586479576</v>
      </c>
      <c r="J19" s="154">
        <f t="shared" ref="J19" si="4">+J10/J$16</f>
        <v>0.67351648302004474</v>
      </c>
      <c r="K19" s="666">
        <f t="shared" ref="K19" si="5">+K10/K$16</f>
        <v>0.69322048465918529</v>
      </c>
      <c r="L19" s="206">
        <f>+L10/L$16</f>
        <v>0.68369290014452611</v>
      </c>
    </row>
    <row r="20" spans="2:15" s="9" customFormat="1" ht="20.25" customHeight="1" x14ac:dyDescent="0.2">
      <c r="B20" s="296" t="s">
        <v>433</v>
      </c>
      <c r="C20" s="282">
        <f t="shared" ref="C20:H20" si="6">+C11/C$16</f>
        <v>0</v>
      </c>
      <c r="D20" s="304">
        <f t="shared" si="6"/>
        <v>0</v>
      </c>
      <c r="E20" s="304">
        <f t="shared" si="6"/>
        <v>0</v>
      </c>
      <c r="F20" s="304">
        <f t="shared" si="6"/>
        <v>2.219336337989555E-2</v>
      </c>
      <c r="G20" s="304">
        <f t="shared" si="6"/>
        <v>1.3632296592371843E-2</v>
      </c>
      <c r="H20" s="304">
        <f t="shared" si="6"/>
        <v>0</v>
      </c>
      <c r="I20" s="304">
        <f t="shared" si="3"/>
        <v>0</v>
      </c>
      <c r="J20" s="304">
        <f t="shared" ref="J20" si="7">+J11/J$16</f>
        <v>1.8013930774319439E-2</v>
      </c>
      <c r="K20" s="980">
        <f t="shared" ref="K20" si="8">+K11/K$16</f>
        <v>3.326473781164116E-3</v>
      </c>
      <c r="L20" s="740">
        <f>+L11/L$16</f>
        <v>2.0406024544978717E-2</v>
      </c>
    </row>
    <row r="21" spans="2:15" s="9" customFormat="1" ht="20.25" customHeight="1" x14ac:dyDescent="0.2">
      <c r="B21" s="296" t="s">
        <v>185</v>
      </c>
      <c r="C21" s="282">
        <f t="shared" ref="C21:H21" si="9">+C12/C$16</f>
        <v>0.15868300054141946</v>
      </c>
      <c r="D21" s="304">
        <f t="shared" si="9"/>
        <v>0.15231475115738444</v>
      </c>
      <c r="E21" s="304">
        <f t="shared" si="9"/>
        <v>0.14825879085578256</v>
      </c>
      <c r="F21" s="304">
        <f t="shared" si="9"/>
        <v>0.13812034714863794</v>
      </c>
      <c r="G21" s="304">
        <f t="shared" si="9"/>
        <v>0.13432814661626549</v>
      </c>
      <c r="H21" s="304">
        <f t="shared" si="9"/>
        <v>0.13099984121058339</v>
      </c>
      <c r="I21" s="304">
        <f t="shared" si="3"/>
        <v>0.12674084265436344</v>
      </c>
      <c r="J21" s="304">
        <f t="shared" ref="J21" si="10">+J12/J$16</f>
        <v>0.12266209614313496</v>
      </c>
      <c r="K21" s="980">
        <f t="shared" ref="K21:L21" si="11">+K12/K$16</f>
        <v>0.11925439596921565</v>
      </c>
      <c r="L21" s="740">
        <f t="shared" si="11"/>
        <v>0.11459557306073895</v>
      </c>
    </row>
    <row r="22" spans="2:15" s="9" customFormat="1" ht="20.25" customHeight="1" x14ac:dyDescent="0.2">
      <c r="B22" s="295" t="s">
        <v>63</v>
      </c>
      <c r="C22" s="283">
        <f t="shared" ref="C22:H22" si="12">+C13/C$16</f>
        <v>0.17272556841052988</v>
      </c>
      <c r="D22" s="298">
        <f t="shared" si="12"/>
        <v>0.16719646731307736</v>
      </c>
      <c r="E22" s="298">
        <f t="shared" si="12"/>
        <v>0.16448554704831514</v>
      </c>
      <c r="F22" s="298">
        <f t="shared" si="12"/>
        <v>0.15219365337433233</v>
      </c>
      <c r="G22" s="298">
        <f t="shared" si="12"/>
        <v>0.14847271805976281</v>
      </c>
      <c r="H22" s="298">
        <f t="shared" si="12"/>
        <v>0.14749315401310811</v>
      </c>
      <c r="I22" s="298">
        <f t="shared" si="3"/>
        <v>0.14572756372347898</v>
      </c>
      <c r="J22" s="298">
        <f t="shared" ref="J22" si="13">+J13/J$16</f>
        <v>0.14422276140996765</v>
      </c>
      <c r="K22" s="981">
        <f t="shared" ref="K22:L22" si="14">+K13/K$16</f>
        <v>0.14297050751303408</v>
      </c>
      <c r="L22" s="299">
        <f t="shared" si="14"/>
        <v>0.14002960230430958</v>
      </c>
    </row>
    <row r="23" spans="2:15" s="9" customFormat="1" ht="20.25" customHeight="1" x14ac:dyDescent="0.2">
      <c r="B23" s="295" t="s">
        <v>64</v>
      </c>
      <c r="C23" s="283">
        <f t="shared" ref="C23:H23" si="15">+C14/C$16</f>
        <v>4.4858182911848121E-2</v>
      </c>
      <c r="D23" s="298">
        <f t="shared" si="15"/>
        <v>4.4749737253367373E-2</v>
      </c>
      <c r="E23" s="298">
        <f t="shared" si="15"/>
        <v>4.4952576667482085E-2</v>
      </c>
      <c r="F23" s="298">
        <f t="shared" si="15"/>
        <v>4.3322480390572196E-2</v>
      </c>
      <c r="G23" s="298">
        <f t="shared" si="15"/>
        <v>4.2195355506445931E-2</v>
      </c>
      <c r="H23" s="298">
        <f t="shared" si="15"/>
        <v>4.3269335931107759E-2</v>
      </c>
      <c r="I23" s="298">
        <f t="shared" si="3"/>
        <v>4.3537717757361809E-2</v>
      </c>
      <c r="J23" s="298">
        <f t="shared" ref="J23" si="16">+J14/J$16</f>
        <v>4.1584728652533244E-2</v>
      </c>
      <c r="K23" s="981">
        <f t="shared" ref="K23:L23" si="17">+K14/K$16</f>
        <v>4.1228138077400757E-2</v>
      </c>
      <c r="L23" s="299">
        <f t="shared" si="17"/>
        <v>4.1275899945446712E-2</v>
      </c>
    </row>
    <row r="24" spans="2:15" s="9" customFormat="1" ht="20.25" customHeight="1" x14ac:dyDescent="0.2">
      <c r="B24" s="296" t="s">
        <v>187</v>
      </c>
      <c r="C24" s="282">
        <f t="shared" ref="C24:H24" si="18">+C15/C$16</f>
        <v>0.21758375132237801</v>
      </c>
      <c r="D24" s="304">
        <f t="shared" si="18"/>
        <v>0.21194620456644472</v>
      </c>
      <c r="E24" s="304">
        <f t="shared" si="18"/>
        <v>0.2094381237157972</v>
      </c>
      <c r="F24" s="304">
        <f t="shared" si="18"/>
        <v>0.19551613376490451</v>
      </c>
      <c r="G24" s="304">
        <f t="shared" si="18"/>
        <v>0.19066807356620874</v>
      </c>
      <c r="H24" s="304">
        <f t="shared" si="18"/>
        <v>0.19076248994421588</v>
      </c>
      <c r="I24" s="304">
        <f t="shared" si="3"/>
        <v>0.18926528148084079</v>
      </c>
      <c r="J24" s="304">
        <f t="shared" ref="J24" si="19">+J15/J$16</f>
        <v>0.18580749006250086</v>
      </c>
      <c r="K24" s="980">
        <f t="shared" ref="K24:L24" si="20">+K15/K$16</f>
        <v>0.18419864559043483</v>
      </c>
      <c r="L24" s="740">
        <f t="shared" si="20"/>
        <v>0.18130550224975631</v>
      </c>
    </row>
    <row r="25" spans="2:15" s="9" customFormat="1" ht="20.25" customHeight="1" x14ac:dyDescent="0.2">
      <c r="B25" s="300" t="s">
        <v>186</v>
      </c>
      <c r="C25" s="301">
        <f t="shared" ref="C25:H25" si="21">+C16/C$16</f>
        <v>1</v>
      </c>
      <c r="D25" s="302">
        <f t="shared" si="21"/>
        <v>1</v>
      </c>
      <c r="E25" s="302">
        <f t="shared" si="21"/>
        <v>1</v>
      </c>
      <c r="F25" s="302">
        <f t="shared" si="21"/>
        <v>1</v>
      </c>
      <c r="G25" s="302">
        <f t="shared" si="21"/>
        <v>1</v>
      </c>
      <c r="H25" s="302">
        <f t="shared" si="21"/>
        <v>1</v>
      </c>
      <c r="I25" s="302">
        <f t="shared" si="3"/>
        <v>1</v>
      </c>
      <c r="J25" s="302">
        <f t="shared" ref="J25" si="22">+J16/J$16</f>
        <v>1</v>
      </c>
      <c r="K25" s="982">
        <f t="shared" ref="K25:L25" si="23">+K16/K$16</f>
        <v>1</v>
      </c>
      <c r="L25" s="303">
        <f t="shared" si="23"/>
        <v>1</v>
      </c>
    </row>
    <row r="26" spans="2:15" s="9" customFormat="1" ht="10.5" customHeight="1" x14ac:dyDescent="0.2">
      <c r="B26" s="284"/>
      <c r="C26" s="285"/>
      <c r="D26" s="285"/>
      <c r="E26" s="285"/>
      <c r="F26" s="285"/>
      <c r="G26" s="285"/>
      <c r="H26" s="786"/>
      <c r="I26" s="285"/>
      <c r="J26" s="285"/>
      <c r="K26" s="285"/>
      <c r="L26" s="285"/>
    </row>
    <row r="27" spans="2:15" s="11" customFormat="1" ht="8.25" customHeight="1" x14ac:dyDescent="0.2">
      <c r="B27" s="250"/>
      <c r="C27" s="250"/>
      <c r="D27" s="250"/>
      <c r="E27" s="250"/>
      <c r="F27" s="250"/>
      <c r="G27" s="250"/>
      <c r="H27" s="250"/>
      <c r="I27" s="250"/>
      <c r="J27" s="250"/>
      <c r="K27" s="250"/>
      <c r="L27" s="250"/>
    </row>
    <row r="28" spans="2:15" s="6" customFormat="1" ht="28.5" customHeight="1" x14ac:dyDescent="0.2">
      <c r="B28" s="288" t="s">
        <v>123</v>
      </c>
      <c r="C28" s="289">
        <v>45382</v>
      </c>
      <c r="D28" s="289">
        <v>45473</v>
      </c>
      <c r="E28" s="289">
        <v>45565</v>
      </c>
      <c r="F28" s="289">
        <v>45657</v>
      </c>
      <c r="G28" s="289">
        <v>45747</v>
      </c>
      <c r="H28" s="289">
        <v>45838</v>
      </c>
      <c r="I28" s="289">
        <v>45930</v>
      </c>
      <c r="J28" s="289">
        <v>46022</v>
      </c>
      <c r="K28" s="305">
        <v>46112</v>
      </c>
      <c r="L28" s="290">
        <v>46203</v>
      </c>
    </row>
    <row r="29" spans="2:15" s="11" customFormat="1" ht="20.25" customHeight="1" x14ac:dyDescent="0.2">
      <c r="B29" s="296" t="s">
        <v>320</v>
      </c>
      <c r="C29" s="146">
        <f t="shared" ref="C29:H29" si="24">SUM(C30:C33)</f>
        <v>12419.752307999999</v>
      </c>
      <c r="D29" s="145">
        <f t="shared" si="24"/>
        <v>13482.556455</v>
      </c>
      <c r="E29" s="145">
        <f t="shared" si="24"/>
        <v>14171.701354000001</v>
      </c>
      <c r="F29" s="145">
        <f t="shared" si="24"/>
        <v>14967.781161000003</v>
      </c>
      <c r="G29" s="145">
        <f t="shared" si="24"/>
        <v>14958.686126000001</v>
      </c>
      <c r="H29" s="145">
        <f t="shared" si="24"/>
        <v>15262.378572000001</v>
      </c>
      <c r="I29" s="145">
        <f t="shared" ref="I29" si="25">SUM(I30:I33)</f>
        <v>15260.230014999997</v>
      </c>
      <c r="J29" s="145">
        <f>SUM(J30:J33)</f>
        <v>15288.022290000001</v>
      </c>
      <c r="K29" s="978">
        <f>SUM(K30:K33)</f>
        <v>16663.6368</v>
      </c>
      <c r="L29" s="201">
        <f>SUM(L30:L33)</f>
        <v>16832.451718</v>
      </c>
      <c r="O29" s="1034"/>
    </row>
    <row r="30" spans="2:15" s="11" customFormat="1" ht="20.25" customHeight="1" x14ac:dyDescent="0.2">
      <c r="B30" s="295" t="s">
        <v>321</v>
      </c>
      <c r="C30" s="142">
        <v>8468.586695</v>
      </c>
      <c r="D30" s="143">
        <v>8713.6605920000002</v>
      </c>
      <c r="E30" s="143">
        <v>8999.4559509999999</v>
      </c>
      <c r="F30" s="143">
        <v>9650.6406220000008</v>
      </c>
      <c r="G30" s="143">
        <v>9255.3425189999998</v>
      </c>
      <c r="H30" s="143">
        <v>9437.9522039999993</v>
      </c>
      <c r="I30" s="143">
        <v>9417.0310609999997</v>
      </c>
      <c r="J30" s="143">
        <v>9383.4122079999997</v>
      </c>
      <c r="K30" s="979">
        <v>9329.1368139999995</v>
      </c>
      <c r="L30" s="200">
        <v>9346.9457739999998</v>
      </c>
      <c r="N30" s="630"/>
      <c r="O30" s="728"/>
    </row>
    <row r="31" spans="2:15" s="11" customFormat="1" ht="20.25" customHeight="1" x14ac:dyDescent="0.2">
      <c r="B31" s="295" t="s">
        <v>366</v>
      </c>
      <c r="C31" s="142">
        <v>5.4494109999999996</v>
      </c>
      <c r="D31" s="143">
        <v>6.9140249999999996</v>
      </c>
      <c r="E31" s="143">
        <v>6.9128869999999996</v>
      </c>
      <c r="F31" s="143">
        <v>3.9648880000000002</v>
      </c>
      <c r="G31" s="143">
        <v>1.48336</v>
      </c>
      <c r="H31" s="143">
        <v>1.040853</v>
      </c>
      <c r="I31" s="143">
        <v>1.492475</v>
      </c>
      <c r="J31" s="143">
        <v>0</v>
      </c>
      <c r="K31" s="979">
        <v>0</v>
      </c>
      <c r="L31" s="200">
        <v>0</v>
      </c>
      <c r="O31" s="728"/>
    </row>
    <row r="32" spans="2:15" s="11" customFormat="1" ht="20.25" customHeight="1" x14ac:dyDescent="0.2">
      <c r="B32" s="295" t="s">
        <v>322</v>
      </c>
      <c r="C32" s="142">
        <v>2507.5331809999998</v>
      </c>
      <c r="D32" s="143">
        <v>2499.765598</v>
      </c>
      <c r="E32" s="143">
        <v>2878.7278700000002</v>
      </c>
      <c r="F32" s="143">
        <v>3251.172059</v>
      </c>
      <c r="G32" s="143">
        <v>3521.6424149999998</v>
      </c>
      <c r="H32" s="143">
        <v>4451.9524940000001</v>
      </c>
      <c r="I32" s="143">
        <v>4637.5002180000001</v>
      </c>
      <c r="J32" s="143">
        <v>4875.898768</v>
      </c>
      <c r="K32" s="979">
        <v>6423.0885820000003</v>
      </c>
      <c r="L32" s="200">
        <v>6624.4574190000003</v>
      </c>
      <c r="N32" s="630"/>
      <c r="O32" s="1034"/>
    </row>
    <row r="33" spans="2:16" s="11" customFormat="1" ht="20.25" customHeight="1" x14ac:dyDescent="0.2">
      <c r="B33" s="295" t="s">
        <v>323</v>
      </c>
      <c r="C33" s="142">
        <v>1438.1830210000001</v>
      </c>
      <c r="D33" s="143">
        <v>2262.2162400000002</v>
      </c>
      <c r="E33" s="143">
        <v>2286.6046459999998</v>
      </c>
      <c r="F33" s="143">
        <v>2062.003592</v>
      </c>
      <c r="G33" s="143">
        <v>2180.2178319999998</v>
      </c>
      <c r="H33" s="143">
        <v>1371.4330210000001</v>
      </c>
      <c r="I33" s="143">
        <v>1204.206261</v>
      </c>
      <c r="J33" s="143">
        <v>1028.7113139999999</v>
      </c>
      <c r="K33" s="979">
        <v>911.41140399999995</v>
      </c>
      <c r="L33" s="200">
        <v>861.04852500000004</v>
      </c>
      <c r="N33" s="630"/>
      <c r="O33" s="728"/>
    </row>
    <row r="34" spans="2:16" s="11" customFormat="1" ht="20.25" customHeight="1" x14ac:dyDescent="0.2">
      <c r="B34" s="296" t="s">
        <v>324</v>
      </c>
      <c r="C34" s="146">
        <f t="shared" ref="C34:H34" si="26">SUM(C35:C39)</f>
        <v>1154.638927</v>
      </c>
      <c r="D34" s="145">
        <f t="shared" si="26"/>
        <v>750.34698700000001</v>
      </c>
      <c r="E34" s="145">
        <f t="shared" si="26"/>
        <v>650.29877800000008</v>
      </c>
      <c r="F34" s="145">
        <f t="shared" si="26"/>
        <v>632.78667899999994</v>
      </c>
      <c r="G34" s="145">
        <f t="shared" si="26"/>
        <v>1264.747658</v>
      </c>
      <c r="H34" s="145">
        <f t="shared" si="26"/>
        <v>1410.833073</v>
      </c>
      <c r="I34" s="145">
        <f t="shared" ref="I34" si="27">SUM(I35:I39)</f>
        <v>1399.3658909999999</v>
      </c>
      <c r="J34" s="145">
        <f t="shared" ref="J34" si="28">SUM(J35:J39)</f>
        <v>1540.5603899999999</v>
      </c>
      <c r="K34" s="978">
        <f t="shared" ref="K34:L34" si="29">SUM(K35:K39)</f>
        <v>1853.856072</v>
      </c>
      <c r="L34" s="201">
        <f t="shared" si="29"/>
        <v>2268.3455020000001</v>
      </c>
      <c r="O34" s="1034"/>
    </row>
    <row r="35" spans="2:16" s="11" customFormat="1" ht="20.25" customHeight="1" x14ac:dyDescent="0.2">
      <c r="B35" s="295" t="s">
        <v>325</v>
      </c>
      <c r="C35" s="142">
        <v>617.683312</v>
      </c>
      <c r="D35" s="143">
        <v>513.66477599999996</v>
      </c>
      <c r="E35" s="143">
        <v>536.62975200000005</v>
      </c>
      <c r="F35" s="143">
        <v>536.11936100000003</v>
      </c>
      <c r="G35" s="143">
        <v>869.11538499999995</v>
      </c>
      <c r="H35" s="143">
        <v>849.65868</v>
      </c>
      <c r="I35" s="143">
        <v>839.15012400000001</v>
      </c>
      <c r="J35" s="143">
        <v>785.410527</v>
      </c>
      <c r="K35" s="979">
        <v>977.42760799999996</v>
      </c>
      <c r="L35" s="200">
        <v>1045.9362860000001</v>
      </c>
      <c r="O35" s="1034"/>
    </row>
    <row r="36" spans="2:16" s="11" customFormat="1" ht="20.25" customHeight="1" x14ac:dyDescent="0.2">
      <c r="B36" s="295" t="s">
        <v>367</v>
      </c>
      <c r="C36" s="142">
        <v>482.61389100000002</v>
      </c>
      <c r="D36" s="143">
        <v>151.759398</v>
      </c>
      <c r="E36" s="143">
        <v>0</v>
      </c>
      <c r="F36" s="143">
        <v>34.534500000000001</v>
      </c>
      <c r="G36" s="143">
        <v>34.737499999999997</v>
      </c>
      <c r="H36" s="143">
        <v>0</v>
      </c>
      <c r="I36" s="143">
        <v>0</v>
      </c>
      <c r="J36" s="143">
        <v>0</v>
      </c>
      <c r="K36" s="979">
        <v>0</v>
      </c>
      <c r="L36" s="200">
        <v>49.384999999999998</v>
      </c>
      <c r="O36" s="728"/>
    </row>
    <row r="37" spans="2:16" s="11" customFormat="1" ht="20.25" customHeight="1" x14ac:dyDescent="0.2">
      <c r="B37" s="295" t="s">
        <v>326</v>
      </c>
      <c r="C37" s="142">
        <v>0</v>
      </c>
      <c r="D37" s="143">
        <v>29.6172</v>
      </c>
      <c r="E37" s="143">
        <v>62.041116000000002</v>
      </c>
      <c r="F37" s="143">
        <v>17.238447000000001</v>
      </c>
      <c r="G37" s="143">
        <v>167.438694</v>
      </c>
      <c r="H37" s="143">
        <v>167.01119199999999</v>
      </c>
      <c r="I37" s="143">
        <v>164.16920200000001</v>
      </c>
      <c r="J37" s="143">
        <v>162.42068</v>
      </c>
      <c r="K37" s="979">
        <v>292.15069299999999</v>
      </c>
      <c r="L37" s="200">
        <v>194.43207100000001</v>
      </c>
      <c r="O37" s="728"/>
    </row>
    <row r="38" spans="2:16" s="11" customFormat="1" ht="20.25" customHeight="1" x14ac:dyDescent="0.2">
      <c r="B38" s="295" t="s">
        <v>327</v>
      </c>
      <c r="C38" s="142">
        <v>0</v>
      </c>
      <c r="D38" s="143">
        <v>0</v>
      </c>
      <c r="E38" s="143">
        <v>0</v>
      </c>
      <c r="F38" s="143">
        <v>0</v>
      </c>
      <c r="G38" s="143">
        <v>147.761582</v>
      </c>
      <c r="H38" s="143">
        <v>350.85488400000003</v>
      </c>
      <c r="I38" s="143">
        <v>353.07186999999999</v>
      </c>
      <c r="J38" s="143">
        <v>552.00210500000003</v>
      </c>
      <c r="K38" s="979">
        <v>547.435879</v>
      </c>
      <c r="L38" s="200">
        <v>938.01596800000004</v>
      </c>
      <c r="O38" s="1034"/>
    </row>
    <row r="39" spans="2:16" s="11" customFormat="1" ht="20.25" customHeight="1" x14ac:dyDescent="0.2">
      <c r="B39" s="295" t="s">
        <v>328</v>
      </c>
      <c r="C39" s="142">
        <v>54.341723999999999</v>
      </c>
      <c r="D39" s="143">
        <v>55.305613000000001</v>
      </c>
      <c r="E39" s="143">
        <v>51.62791</v>
      </c>
      <c r="F39" s="143">
        <v>44.894371</v>
      </c>
      <c r="G39" s="143">
        <v>45.694496999999998</v>
      </c>
      <c r="H39" s="143">
        <v>43.308317000000002</v>
      </c>
      <c r="I39" s="143">
        <v>42.974694999999997</v>
      </c>
      <c r="J39" s="143">
        <v>40.727077999999999</v>
      </c>
      <c r="K39" s="979">
        <v>36.841892000000001</v>
      </c>
      <c r="L39" s="200">
        <v>40.576177000000001</v>
      </c>
      <c r="O39" s="728"/>
    </row>
    <row r="40" spans="2:16" s="11" customFormat="1" ht="20.25" customHeight="1" x14ac:dyDescent="0.2">
      <c r="B40" s="296" t="s">
        <v>329</v>
      </c>
      <c r="C40" s="146">
        <f t="shared" ref="C40:H40" si="30">SUM(C41:C45)</f>
        <v>1204.622351</v>
      </c>
      <c r="D40" s="145">
        <f t="shared" si="30"/>
        <v>1202.830653</v>
      </c>
      <c r="E40" s="145">
        <f t="shared" si="30"/>
        <v>1224.4110900000001</v>
      </c>
      <c r="F40" s="145">
        <f t="shared" si="30"/>
        <v>1038.9205649999999</v>
      </c>
      <c r="G40" s="145">
        <f t="shared" si="30"/>
        <v>1246.9653840000001</v>
      </c>
      <c r="H40" s="145">
        <f t="shared" si="30"/>
        <v>1208.7337070000001</v>
      </c>
      <c r="I40" s="145">
        <f t="shared" ref="I40" si="31">SUM(I41:I45)</f>
        <v>1412.535948</v>
      </c>
      <c r="J40" s="145">
        <f t="shared" ref="J40" si="32">SUM(J41:J45)</f>
        <v>1744.1589489999999</v>
      </c>
      <c r="K40" s="978">
        <f t="shared" ref="K40:L40" si="33">SUM(K41:K45)</f>
        <v>2188.4195960000002</v>
      </c>
      <c r="L40" s="201">
        <f t="shared" si="33"/>
        <v>2465.2024359999996</v>
      </c>
      <c r="O40" s="1034"/>
    </row>
    <row r="41" spans="2:16" s="11" customFormat="1" ht="20.25" customHeight="1" x14ac:dyDescent="0.2">
      <c r="B41" s="295" t="s">
        <v>330</v>
      </c>
      <c r="C41" s="142">
        <v>393.01311600000002</v>
      </c>
      <c r="D41" s="143">
        <v>387.055542</v>
      </c>
      <c r="E41" s="143">
        <v>445.18531000000002</v>
      </c>
      <c r="F41" s="143">
        <v>295.20165100000003</v>
      </c>
      <c r="G41" s="143">
        <v>432.62764399999998</v>
      </c>
      <c r="H41" s="143">
        <v>349.96070200000003</v>
      </c>
      <c r="I41" s="143">
        <v>459.910707</v>
      </c>
      <c r="J41" s="143">
        <v>509.64039200000002</v>
      </c>
      <c r="K41" s="979">
        <v>616.92879900000003</v>
      </c>
      <c r="L41" s="200">
        <v>547.40386599999999</v>
      </c>
      <c r="O41" s="1034"/>
    </row>
    <row r="42" spans="2:16" s="11" customFormat="1" ht="20.25" customHeight="1" x14ac:dyDescent="0.2">
      <c r="B42" s="295" t="s">
        <v>368</v>
      </c>
      <c r="C42" s="142">
        <v>176.29110399999999</v>
      </c>
      <c r="D42" s="143">
        <v>174.85132200000001</v>
      </c>
      <c r="E42" s="143">
        <v>132.27575300000001</v>
      </c>
      <c r="F42" s="143">
        <v>153.61202499999999</v>
      </c>
      <c r="G42" s="143">
        <v>222.56300300000001</v>
      </c>
      <c r="H42" s="143">
        <v>176.18103400000001</v>
      </c>
      <c r="I42" s="143">
        <v>270.83475199999998</v>
      </c>
      <c r="J42" s="143">
        <v>360.73417599999999</v>
      </c>
      <c r="K42" s="979">
        <v>418.80516</v>
      </c>
      <c r="L42" s="200">
        <v>483.407713</v>
      </c>
      <c r="O42" s="1034"/>
    </row>
    <row r="43" spans="2:16" s="11" customFormat="1" ht="20.25" customHeight="1" x14ac:dyDescent="0.2">
      <c r="B43" s="295" t="s">
        <v>331</v>
      </c>
      <c r="C43" s="142">
        <v>310.96522100000004</v>
      </c>
      <c r="D43" s="143">
        <v>336.24692100000004</v>
      </c>
      <c r="E43" s="143">
        <v>299.17784900000004</v>
      </c>
      <c r="F43" s="143">
        <v>248.36375600000002</v>
      </c>
      <c r="G43" s="143">
        <v>256.04882499999997</v>
      </c>
      <c r="H43" s="143">
        <v>303.62015300000002</v>
      </c>
      <c r="I43" s="143">
        <v>285.44939099999999</v>
      </c>
      <c r="J43" s="143">
        <v>390.40515199999999</v>
      </c>
      <c r="K43" s="979">
        <v>659.5047239999999</v>
      </c>
      <c r="L43" s="200">
        <v>888.33668899999998</v>
      </c>
      <c r="O43" s="1034"/>
    </row>
    <row r="44" spans="2:16" s="11" customFormat="1" ht="20.25" customHeight="1" x14ac:dyDescent="0.2">
      <c r="B44" s="295" t="s">
        <v>332</v>
      </c>
      <c r="C44" s="142">
        <v>82.248053999999996</v>
      </c>
      <c r="D44" s="143">
        <v>66.852252000000007</v>
      </c>
      <c r="E44" s="143">
        <v>108.992594</v>
      </c>
      <c r="F44" s="143">
        <v>103.520844</v>
      </c>
      <c r="G44" s="143">
        <v>101.114265</v>
      </c>
      <c r="H44" s="143">
        <v>111.408135</v>
      </c>
      <c r="I44" s="143">
        <v>99.916249000000008</v>
      </c>
      <c r="J44" s="143">
        <v>185.24074400000001</v>
      </c>
      <c r="K44" s="979">
        <v>185.67531100000002</v>
      </c>
      <c r="L44" s="200">
        <v>179.51020700000001</v>
      </c>
      <c r="O44" s="1034"/>
    </row>
    <row r="45" spans="2:16" s="11" customFormat="1" ht="20.25" customHeight="1" x14ac:dyDescent="0.2">
      <c r="B45" s="295" t="s">
        <v>333</v>
      </c>
      <c r="C45" s="142">
        <v>242.10485600000001</v>
      </c>
      <c r="D45" s="143">
        <v>237.82461599999999</v>
      </c>
      <c r="E45" s="143">
        <v>238.779584</v>
      </c>
      <c r="F45" s="143">
        <v>238.22228899999999</v>
      </c>
      <c r="G45" s="143">
        <v>234.611647</v>
      </c>
      <c r="H45" s="143">
        <v>267.56368300000003</v>
      </c>
      <c r="I45" s="143">
        <v>296.42484899999999</v>
      </c>
      <c r="J45" s="143">
        <v>298.138485</v>
      </c>
      <c r="K45" s="979">
        <v>307.50560200000001</v>
      </c>
      <c r="L45" s="200">
        <v>366.54396100000002</v>
      </c>
      <c r="O45" s="1034"/>
    </row>
    <row r="46" spans="2:16" s="11" customFormat="1" ht="20.25" customHeight="1" x14ac:dyDescent="0.2">
      <c r="B46" s="296" t="s">
        <v>334</v>
      </c>
      <c r="C46" s="146">
        <v>185.03299999999999</v>
      </c>
      <c r="D46" s="145">
        <v>143.70500000000001</v>
      </c>
      <c r="E46" s="145">
        <v>176.60726251</v>
      </c>
      <c r="F46" s="145">
        <v>197.047</v>
      </c>
      <c r="G46" s="145">
        <v>166.035</v>
      </c>
      <c r="H46" s="145">
        <v>201.45599999999999</v>
      </c>
      <c r="I46" s="145">
        <v>181.214</v>
      </c>
      <c r="J46" s="145">
        <v>171.34100000000001</v>
      </c>
      <c r="K46" s="978">
        <v>189.505</v>
      </c>
      <c r="L46" s="201">
        <v>176.98500000000001</v>
      </c>
      <c r="O46" s="1034"/>
    </row>
    <row r="47" spans="2:16" s="11" customFormat="1" ht="20.25" customHeight="1" x14ac:dyDescent="0.2">
      <c r="B47" s="300" t="s">
        <v>335</v>
      </c>
      <c r="C47" s="176">
        <f t="shared" ref="C47:H47" si="34">C29+C34+C40+C46</f>
        <v>14964.046585999999</v>
      </c>
      <c r="D47" s="175">
        <f t="shared" si="34"/>
        <v>15579.439095</v>
      </c>
      <c r="E47" s="175">
        <f t="shared" si="34"/>
        <v>16223.018484510001</v>
      </c>
      <c r="F47" s="175">
        <f t="shared" si="34"/>
        <v>16836.535405000002</v>
      </c>
      <c r="G47" s="175">
        <f t="shared" si="34"/>
        <v>17636.434168</v>
      </c>
      <c r="H47" s="175">
        <f t="shared" si="34"/>
        <v>18083.401352000001</v>
      </c>
      <c r="I47" s="175">
        <f t="shared" ref="I47" si="35">I29+I34+I40+I46</f>
        <v>18253.345853999999</v>
      </c>
      <c r="J47" s="175">
        <f>J29+J34+J40+J46</f>
        <v>18744.082629</v>
      </c>
      <c r="K47" s="947">
        <f>K29+K34+K40+K46</f>
        <v>20895.417468</v>
      </c>
      <c r="L47" s="202">
        <f>L29+L34+L40+L46</f>
        <v>21742.984656000001</v>
      </c>
      <c r="N47" s="630"/>
      <c r="O47" s="1034"/>
      <c r="P47" s="630"/>
    </row>
    <row r="48" spans="2:16" s="11" customFormat="1" ht="9.75" customHeight="1" x14ac:dyDescent="0.2">
      <c r="B48" s="284"/>
      <c r="C48" s="280"/>
      <c r="D48" s="280"/>
      <c r="E48" s="280"/>
      <c r="F48" s="280"/>
      <c r="G48" s="280"/>
      <c r="H48" s="280"/>
      <c r="I48" s="280"/>
      <c r="J48" s="280"/>
      <c r="K48" s="280"/>
      <c r="L48" s="280"/>
    </row>
    <row r="49" spans="2:16" s="11" customFormat="1" ht="11.45" customHeight="1" x14ac:dyDescent="0.2">
      <c r="B49" s="284"/>
      <c r="C49" s="280"/>
      <c r="D49" s="280"/>
      <c r="E49" s="280"/>
      <c r="F49" s="280"/>
      <c r="G49" s="280"/>
      <c r="H49" s="280"/>
      <c r="I49" s="280"/>
      <c r="J49" s="280"/>
      <c r="K49" s="280"/>
      <c r="L49" s="280"/>
    </row>
    <row r="50" spans="2:16" s="11" customFormat="1" ht="28.15" customHeight="1" x14ac:dyDescent="0.2">
      <c r="B50" s="288" t="s">
        <v>495</v>
      </c>
      <c r="C50" s="289">
        <v>45382</v>
      </c>
      <c r="D50" s="289">
        <v>45473</v>
      </c>
      <c r="E50" s="289">
        <v>45565</v>
      </c>
      <c r="F50" s="289">
        <v>45657</v>
      </c>
      <c r="G50" s="289">
        <v>45747</v>
      </c>
      <c r="H50" s="289">
        <v>45838</v>
      </c>
      <c r="I50" s="289">
        <v>45930</v>
      </c>
      <c r="J50" s="289">
        <v>46022</v>
      </c>
      <c r="K50" s="305">
        <v>46112</v>
      </c>
      <c r="L50" s="290">
        <v>46203</v>
      </c>
    </row>
    <row r="51" spans="2:16" s="11" customFormat="1" ht="19.899999999999999" customHeight="1" x14ac:dyDescent="0.2">
      <c r="B51" s="141" t="s">
        <v>354</v>
      </c>
      <c r="C51" s="142">
        <v>1798.298</v>
      </c>
      <c r="D51" s="143">
        <v>1801.8679999999999</v>
      </c>
      <c r="E51" s="143">
        <v>1811.91643264</v>
      </c>
      <c r="F51" s="143">
        <v>1790.49</v>
      </c>
      <c r="G51" s="143">
        <v>1815.203</v>
      </c>
      <c r="H51" s="143">
        <v>1827.6010000000001</v>
      </c>
      <c r="I51" s="143">
        <v>1772.58344074</v>
      </c>
      <c r="J51" s="143">
        <v>1853.876</v>
      </c>
      <c r="K51" s="979">
        <v>1824.623</v>
      </c>
      <c r="L51" s="200">
        <v>1799.337</v>
      </c>
      <c r="N51" s="630"/>
      <c r="O51" s="630"/>
    </row>
    <row r="52" spans="2:16" s="11" customFormat="1" ht="19.899999999999999" customHeight="1" x14ac:dyDescent="0.2">
      <c r="B52" s="141" t="s">
        <v>355</v>
      </c>
      <c r="C52" s="142">
        <v>1175.7360000000001</v>
      </c>
      <c r="D52" s="143">
        <v>1171.664</v>
      </c>
      <c r="E52" s="143">
        <v>1167.81467823</v>
      </c>
      <c r="F52" s="143">
        <v>1010.684</v>
      </c>
      <c r="G52" s="143">
        <v>1008.126</v>
      </c>
      <c r="H52" s="143">
        <v>996.18700000000001</v>
      </c>
      <c r="I52" s="143">
        <v>991.4197829499999</v>
      </c>
      <c r="J52" s="143">
        <v>927.24800000000005</v>
      </c>
      <c r="K52" s="979">
        <v>900.94500000000005</v>
      </c>
      <c r="L52" s="200">
        <v>899.99400000000003</v>
      </c>
      <c r="N52" s="630"/>
      <c r="O52" s="630"/>
    </row>
    <row r="53" spans="2:16" s="11" customFormat="1" ht="19.899999999999999" customHeight="1" x14ac:dyDescent="0.2">
      <c r="B53" s="141" t="s">
        <v>356</v>
      </c>
      <c r="C53" s="142">
        <v>524.21140799</v>
      </c>
      <c r="D53" s="143">
        <v>574.45337884000003</v>
      </c>
      <c r="E53" s="143">
        <v>531.5516630300001</v>
      </c>
      <c r="F53" s="143">
        <v>509.06876013999999</v>
      </c>
      <c r="G53" s="143">
        <v>495.53558586000003</v>
      </c>
      <c r="H53" s="143">
        <v>499.02</v>
      </c>
      <c r="I53" s="143">
        <v>553.68623705000005</v>
      </c>
      <c r="J53" s="143">
        <v>682.6443340699999</v>
      </c>
      <c r="K53" s="979">
        <v>687.04096780999998</v>
      </c>
      <c r="L53" s="200">
        <v>725.58940699999994</v>
      </c>
      <c r="N53" s="630"/>
      <c r="O53" s="630"/>
    </row>
    <row r="54" spans="2:16" s="11" customFormat="1" ht="19.899999999999999" customHeight="1" x14ac:dyDescent="0.2">
      <c r="B54" s="144" t="s">
        <v>353</v>
      </c>
      <c r="C54" s="281">
        <f t="shared" ref="C54:H54" si="36">SUM(C51:C53)</f>
        <v>3498.2454079899999</v>
      </c>
      <c r="D54" s="281">
        <f t="shared" si="36"/>
        <v>3547.9853788400001</v>
      </c>
      <c r="E54" s="281">
        <f t="shared" si="36"/>
        <v>3511.2827739000004</v>
      </c>
      <c r="F54" s="281">
        <f t="shared" si="36"/>
        <v>3310.24276014</v>
      </c>
      <c r="G54" s="281">
        <f t="shared" si="36"/>
        <v>3318.8645858599998</v>
      </c>
      <c r="H54" s="281">
        <f t="shared" si="36"/>
        <v>3322.808</v>
      </c>
      <c r="I54" s="280">
        <f>SUM(I51:I53)</f>
        <v>3317.68946074</v>
      </c>
      <c r="J54" s="280">
        <f>SUM(J51:J53)</f>
        <v>3463.7683340699996</v>
      </c>
      <c r="K54" s="946">
        <f>SUM(K51:K53)</f>
        <v>3412.6089678100002</v>
      </c>
      <c r="L54" s="291">
        <f>SUM(L51:L53)</f>
        <v>3424.9204070000001</v>
      </c>
      <c r="N54" s="630"/>
      <c r="O54" s="630"/>
    </row>
    <row r="55" spans="2:16" s="11" customFormat="1" ht="19.899999999999999" customHeight="1" x14ac:dyDescent="0.2">
      <c r="B55" s="144"/>
      <c r="C55" s="281"/>
      <c r="D55" s="281"/>
      <c r="E55" s="281"/>
      <c r="F55" s="281"/>
      <c r="G55" s="281"/>
      <c r="H55" s="281"/>
      <c r="I55" s="280"/>
      <c r="J55" s="280"/>
      <c r="K55" s="946"/>
      <c r="L55" s="291"/>
      <c r="N55" s="630"/>
      <c r="O55" s="630"/>
    </row>
    <row r="56" spans="2:16" s="11" customFormat="1" ht="19.899999999999999" customHeight="1" x14ac:dyDescent="0.2">
      <c r="B56" s="297" t="s">
        <v>21</v>
      </c>
      <c r="C56" s="281"/>
      <c r="D56" s="281"/>
      <c r="E56" s="281"/>
      <c r="F56" s="281"/>
      <c r="G56" s="281"/>
      <c r="H56" s="281"/>
      <c r="I56" s="280"/>
      <c r="J56" s="280"/>
      <c r="K56" s="946"/>
      <c r="L56" s="291"/>
      <c r="N56" s="630"/>
      <c r="O56" s="630"/>
    </row>
    <row r="57" spans="2:16" s="11" customFormat="1" ht="19.899999999999999" customHeight="1" x14ac:dyDescent="0.2">
      <c r="B57" s="295" t="s">
        <v>550</v>
      </c>
      <c r="C57" s="211">
        <v>1855.2694670000001</v>
      </c>
      <c r="D57" s="211">
        <v>1851.536554</v>
      </c>
      <c r="E57" s="211">
        <v>1823.0387129999999</v>
      </c>
      <c r="F57" s="211">
        <v>1519.882693</v>
      </c>
      <c r="G57" s="211">
        <v>1517.6545000000001</v>
      </c>
      <c r="H57" s="211">
        <v>1508.4611447100001</v>
      </c>
      <c r="I57" s="219">
        <v>1481.7815952799999</v>
      </c>
      <c r="J57" s="219">
        <v>1346.221</v>
      </c>
      <c r="K57" s="951">
        <v>1300.1859710000001</v>
      </c>
      <c r="L57" s="293">
        <v>1282.1449271799997</v>
      </c>
      <c r="N57" s="630"/>
      <c r="O57" s="630"/>
    </row>
    <row r="58" spans="2:16" s="11" customFormat="1" ht="19.899999999999999" customHeight="1" x14ac:dyDescent="0.2">
      <c r="B58" s="295" t="s">
        <v>551</v>
      </c>
      <c r="C58" s="211">
        <f t="shared" ref="C58:I58" si="37">C59-C57</f>
        <v>1642.9759409899998</v>
      </c>
      <c r="D58" s="211">
        <f t="shared" si="37"/>
        <v>1696.44882484</v>
      </c>
      <c r="E58" s="211">
        <f t="shared" si="37"/>
        <v>1688.2440609000005</v>
      </c>
      <c r="F58" s="211">
        <f t="shared" si="37"/>
        <v>1790.36006714</v>
      </c>
      <c r="G58" s="211">
        <f t="shared" si="37"/>
        <v>1801.2100858599997</v>
      </c>
      <c r="H58" s="211">
        <f t="shared" si="37"/>
        <v>1814.3468552899999</v>
      </c>
      <c r="I58" s="211">
        <f t="shared" si="37"/>
        <v>1835.90786546</v>
      </c>
      <c r="J58" s="219">
        <f t="shared" ref="J58" si="38">J59-J57</f>
        <v>2117.5473340699996</v>
      </c>
      <c r="K58" s="951">
        <f t="shared" ref="K58:L58" si="39">K59-K57</f>
        <v>2112.4229968099999</v>
      </c>
      <c r="L58" s="293">
        <f t="shared" si="39"/>
        <v>2142.7754798200003</v>
      </c>
      <c r="N58" s="630"/>
      <c r="O58" s="630"/>
    </row>
    <row r="59" spans="2:16" s="11" customFormat="1" ht="19.899999999999999" customHeight="1" x14ac:dyDescent="0.2">
      <c r="B59" s="632" t="s">
        <v>549</v>
      </c>
      <c r="C59" s="633">
        <f t="shared" ref="C59:I59" si="40">C54</f>
        <v>3498.2454079899999</v>
      </c>
      <c r="D59" s="633">
        <f t="shared" si="40"/>
        <v>3547.9853788400001</v>
      </c>
      <c r="E59" s="633">
        <f t="shared" si="40"/>
        <v>3511.2827739000004</v>
      </c>
      <c r="F59" s="633">
        <f t="shared" si="40"/>
        <v>3310.24276014</v>
      </c>
      <c r="G59" s="633">
        <f t="shared" si="40"/>
        <v>3318.8645858599998</v>
      </c>
      <c r="H59" s="633">
        <f t="shared" si="40"/>
        <v>3322.808</v>
      </c>
      <c r="I59" s="633">
        <f t="shared" si="40"/>
        <v>3317.68946074</v>
      </c>
      <c r="J59" s="976">
        <f t="shared" ref="J59" si="41">J54</f>
        <v>3463.7683340699996</v>
      </c>
      <c r="K59" s="983">
        <f>K54</f>
        <v>3412.6089678100002</v>
      </c>
      <c r="L59" s="634">
        <f>L54</f>
        <v>3424.9204070000001</v>
      </c>
      <c r="O59" s="630"/>
    </row>
    <row r="60" spans="2:16" s="11" customFormat="1" ht="11.45" customHeight="1" x14ac:dyDescent="0.2">
      <c r="B60" s="631"/>
      <c r="C60" s="281"/>
      <c r="D60" s="281"/>
      <c r="E60" s="281"/>
      <c r="F60" s="281"/>
      <c r="G60" s="281"/>
      <c r="H60" s="281"/>
      <c r="I60" s="281"/>
      <c r="J60" s="281"/>
      <c r="K60" s="281"/>
      <c r="L60" s="281"/>
    </row>
    <row r="61" spans="2:16" s="11" customFormat="1" ht="13.5" customHeight="1" x14ac:dyDescent="0.2">
      <c r="B61" s="1100"/>
      <c r="C61" s="1101"/>
      <c r="D61" s="1101"/>
      <c r="E61" s="1101"/>
      <c r="F61" s="1101"/>
      <c r="G61" s="1101"/>
      <c r="H61" s="1101"/>
      <c r="I61" s="1101"/>
      <c r="J61" s="1101"/>
      <c r="K61" s="1101"/>
      <c r="L61" s="1101"/>
    </row>
    <row r="62" spans="2:16" s="6" customFormat="1" ht="28.5" customHeight="1" x14ac:dyDescent="0.2">
      <c r="B62" s="288" t="s">
        <v>11</v>
      </c>
      <c r="C62" s="289">
        <v>45382</v>
      </c>
      <c r="D62" s="289">
        <v>45473</v>
      </c>
      <c r="E62" s="289">
        <v>45565</v>
      </c>
      <c r="F62" s="289">
        <v>45657</v>
      </c>
      <c r="G62" s="289">
        <v>45747</v>
      </c>
      <c r="H62" s="289">
        <v>45838</v>
      </c>
      <c r="I62" s="289">
        <v>45930</v>
      </c>
      <c r="J62" s="289">
        <v>46022</v>
      </c>
      <c r="K62" s="305">
        <v>46112</v>
      </c>
      <c r="L62" s="290">
        <v>46203</v>
      </c>
    </row>
    <row r="63" spans="2:16" s="9" customFormat="1" ht="20.25" customHeight="1" x14ac:dyDescent="0.2">
      <c r="B63" s="295" t="s">
        <v>19</v>
      </c>
      <c r="C63" s="142">
        <v>23527.740998000001</v>
      </c>
      <c r="D63" s="143">
        <v>23467.172824000001</v>
      </c>
      <c r="E63" s="143">
        <v>23270.471738</v>
      </c>
      <c r="F63" s="143">
        <v>24508.576004999999</v>
      </c>
      <c r="G63" s="143">
        <v>23881.518606000001</v>
      </c>
      <c r="H63" s="143">
        <v>23867.162552999998</v>
      </c>
      <c r="I63" s="143">
        <v>24016.661892</v>
      </c>
      <c r="J63" s="143">
        <v>25097.472366999998</v>
      </c>
      <c r="K63" s="979">
        <v>24681.404560999999</v>
      </c>
      <c r="L63" s="200">
        <v>25200.958178000001</v>
      </c>
      <c r="N63" s="729"/>
      <c r="O63" s="39"/>
      <c r="P63" s="39"/>
    </row>
    <row r="64" spans="2:16" s="9" customFormat="1" ht="20.25" customHeight="1" x14ac:dyDescent="0.2">
      <c r="B64" s="295" t="s">
        <v>20</v>
      </c>
      <c r="C64" s="142">
        <v>21755.955046999999</v>
      </c>
      <c r="D64" s="143">
        <v>22747.633449999998</v>
      </c>
      <c r="E64" s="143">
        <v>23774.306382000002</v>
      </c>
      <c r="F64" s="143">
        <v>24662.818252999998</v>
      </c>
      <c r="G64" s="143">
        <v>23790.598916999999</v>
      </c>
      <c r="H64" s="143">
        <v>25953.931485000001</v>
      </c>
      <c r="I64" s="143">
        <v>26639.671286000001</v>
      </c>
      <c r="J64" s="143">
        <v>27467.967433999998</v>
      </c>
      <c r="K64" s="979">
        <v>27102.302116999999</v>
      </c>
      <c r="L64" s="200">
        <v>29240.286258</v>
      </c>
      <c r="N64" s="729"/>
      <c r="O64" s="39"/>
      <c r="P64" s="39"/>
    </row>
    <row r="65" spans="2:16" s="9" customFormat="1" ht="20.25" customHeight="1" x14ac:dyDescent="0.2">
      <c r="B65" s="295" t="s">
        <v>86</v>
      </c>
      <c r="C65" s="142">
        <v>13307.001789</v>
      </c>
      <c r="D65" s="143">
        <v>13542.628015999999</v>
      </c>
      <c r="E65" s="143">
        <v>13495.229067</v>
      </c>
      <c r="F65" s="143">
        <v>13681.466689999999</v>
      </c>
      <c r="G65" s="143">
        <v>13767.064464999999</v>
      </c>
      <c r="H65" s="143">
        <v>13037.22926</v>
      </c>
      <c r="I65" s="143">
        <v>13035.098730000002</v>
      </c>
      <c r="J65" s="143">
        <v>13531.398266999999</v>
      </c>
      <c r="K65" s="979">
        <v>13097.214528</v>
      </c>
      <c r="L65" s="200">
        <v>13936.178162</v>
      </c>
      <c r="N65" s="729"/>
      <c r="O65" s="39"/>
      <c r="P65" s="39"/>
    </row>
    <row r="66" spans="2:16" s="9" customFormat="1" ht="20.25" customHeight="1" x14ac:dyDescent="0.2">
      <c r="B66" s="296" t="s">
        <v>188</v>
      </c>
      <c r="C66" s="281">
        <f t="shared" ref="C66:H66" si="42">C63+C64+C65</f>
        <v>58590.697834000006</v>
      </c>
      <c r="D66" s="280">
        <f t="shared" si="42"/>
        <v>59757.434290000005</v>
      </c>
      <c r="E66" s="280">
        <f t="shared" si="42"/>
        <v>60540.007187000003</v>
      </c>
      <c r="F66" s="280">
        <f t="shared" si="42"/>
        <v>62852.860948000001</v>
      </c>
      <c r="G66" s="280">
        <f t="shared" si="42"/>
        <v>61439.181987999997</v>
      </c>
      <c r="H66" s="280">
        <f t="shared" si="42"/>
        <v>62858.323297999996</v>
      </c>
      <c r="I66" s="280">
        <f t="shared" ref="I66" si="43">I63+I64+I65</f>
        <v>63691.431907999999</v>
      </c>
      <c r="J66" s="280">
        <f t="shared" ref="J66" si="44">J63+J64+J65</f>
        <v>66096.838067999997</v>
      </c>
      <c r="K66" s="946">
        <f>K63+K64+K65</f>
        <v>64880.921205999999</v>
      </c>
      <c r="L66" s="291">
        <f>L63+L64+L65</f>
        <v>68377.422598000005</v>
      </c>
      <c r="N66" s="843"/>
      <c r="O66" s="39"/>
      <c r="P66" s="39"/>
    </row>
    <row r="67" spans="2:16" s="9" customFormat="1" ht="14.25" customHeight="1" x14ac:dyDescent="0.2">
      <c r="B67" s="296"/>
      <c r="C67" s="281"/>
      <c r="D67" s="280"/>
      <c r="E67" s="280"/>
      <c r="F67" s="280"/>
      <c r="G67" s="280"/>
      <c r="H67" s="280"/>
      <c r="I67" s="280"/>
      <c r="J67" s="280"/>
      <c r="K67" s="946"/>
      <c r="L67" s="291"/>
    </row>
    <row r="68" spans="2:16" s="9" customFormat="1" ht="20.25" customHeight="1" x14ac:dyDescent="0.2">
      <c r="B68" s="297" t="s">
        <v>21</v>
      </c>
      <c r="C68" s="281"/>
      <c r="D68" s="280"/>
      <c r="E68" s="280"/>
      <c r="F68" s="280"/>
      <c r="G68" s="280"/>
      <c r="H68" s="280"/>
      <c r="I68" s="280"/>
      <c r="J68" s="280"/>
      <c r="K68" s="946"/>
      <c r="L68" s="291"/>
    </row>
    <row r="69" spans="2:16" s="9" customFormat="1" ht="20.25" customHeight="1" x14ac:dyDescent="0.2">
      <c r="B69" s="295" t="s">
        <v>19</v>
      </c>
      <c r="C69" s="283">
        <f t="shared" ref="C69:H69" si="45">+C63/C$66</f>
        <v>0.40156103046697156</v>
      </c>
      <c r="D69" s="298">
        <f t="shared" si="45"/>
        <v>0.3927071686196385</v>
      </c>
      <c r="E69" s="298">
        <f t="shared" si="45"/>
        <v>0.38438171416334027</v>
      </c>
      <c r="F69" s="298">
        <f t="shared" si="45"/>
        <v>0.38993572663743431</v>
      </c>
      <c r="G69" s="298">
        <f t="shared" si="45"/>
        <v>0.38870176706884579</v>
      </c>
      <c r="H69" s="298">
        <f t="shared" si="45"/>
        <v>0.37969772817276842</v>
      </c>
      <c r="I69" s="298">
        <f t="shared" ref="I69" si="46">+I63/I$66</f>
        <v>0.37707837887349138</v>
      </c>
      <c r="J69" s="298">
        <f t="shared" ref="J69" si="47">+J63/J$66</f>
        <v>0.37970760932890441</v>
      </c>
      <c r="K69" s="981">
        <f t="shared" ref="K69" si="48">+K63/K$66</f>
        <v>0.3804108218906968</v>
      </c>
      <c r="L69" s="299">
        <f>+L63/L$66</f>
        <v>0.36855671390481909</v>
      </c>
    </row>
    <row r="70" spans="2:16" s="9" customFormat="1" ht="20.25" customHeight="1" x14ac:dyDescent="0.2">
      <c r="B70" s="295" t="s">
        <v>20</v>
      </c>
      <c r="C70" s="283">
        <f t="shared" ref="C70:H70" si="49">+C64/C$66</f>
        <v>0.37132097502301953</v>
      </c>
      <c r="D70" s="298">
        <f t="shared" si="49"/>
        <v>0.38066616681711613</v>
      </c>
      <c r="E70" s="298">
        <f t="shared" si="49"/>
        <v>0.39270405615520232</v>
      </c>
      <c r="F70" s="298">
        <f t="shared" si="49"/>
        <v>0.39238974775395291</v>
      </c>
      <c r="G70" s="298">
        <f t="shared" si="49"/>
        <v>0.38722193471987737</v>
      </c>
      <c r="H70" s="298">
        <f t="shared" si="49"/>
        <v>0.4128957013688877</v>
      </c>
      <c r="I70" s="298">
        <f t="shared" ref="I70" si="50">+I64/I$66</f>
        <v>0.41826145979069923</v>
      </c>
      <c r="J70" s="298">
        <f t="shared" ref="J70" si="51">+J64/J$66</f>
        <v>0.41557158007681294</v>
      </c>
      <c r="K70" s="981">
        <f t="shared" ref="K70" si="52">+K64/K$66</f>
        <v>0.41772375627881275</v>
      </c>
      <c r="L70" s="299">
        <f>+L64/L$66</f>
        <v>0.42763071708490019</v>
      </c>
    </row>
    <row r="71" spans="2:16" s="9" customFormat="1" ht="20.25" customHeight="1" x14ac:dyDescent="0.2">
      <c r="B71" s="295" t="s">
        <v>86</v>
      </c>
      <c r="C71" s="283">
        <f t="shared" ref="C71:H71" si="53">+C65/C$66</f>
        <v>0.22711799451000883</v>
      </c>
      <c r="D71" s="298">
        <f t="shared" si="53"/>
        <v>0.22662666456324521</v>
      </c>
      <c r="E71" s="298">
        <f t="shared" si="53"/>
        <v>0.22291422968145741</v>
      </c>
      <c r="F71" s="298">
        <f t="shared" si="53"/>
        <v>0.2176745256086127</v>
      </c>
      <c r="G71" s="298">
        <f t="shared" si="53"/>
        <v>0.22407629821127689</v>
      </c>
      <c r="H71" s="298">
        <f t="shared" si="53"/>
        <v>0.20740657045834396</v>
      </c>
      <c r="I71" s="298">
        <f t="shared" ref="I71" si="54">+I65/I$66</f>
        <v>0.20466016133580944</v>
      </c>
      <c r="J71" s="298">
        <f t="shared" ref="J71" si="55">+J65/J$66</f>
        <v>0.20472081059428265</v>
      </c>
      <c r="K71" s="981">
        <f>+K65/K$66</f>
        <v>0.20186542183049042</v>
      </c>
      <c r="L71" s="299">
        <f>+L65/L$66</f>
        <v>0.20381256901028066</v>
      </c>
    </row>
    <row r="72" spans="2:16" s="9" customFormat="1" ht="20.25" customHeight="1" x14ac:dyDescent="0.2">
      <c r="B72" s="300" t="s">
        <v>189</v>
      </c>
      <c r="C72" s="301">
        <f t="shared" ref="C72:H72" si="56">+C69+C70+C71</f>
        <v>0.99999999999999989</v>
      </c>
      <c r="D72" s="302">
        <f t="shared" si="56"/>
        <v>0.99999999999999989</v>
      </c>
      <c r="E72" s="302">
        <f t="shared" si="56"/>
        <v>1</v>
      </c>
      <c r="F72" s="302">
        <f t="shared" si="56"/>
        <v>0.99999999999999989</v>
      </c>
      <c r="G72" s="302">
        <f t="shared" si="56"/>
        <v>1</v>
      </c>
      <c r="H72" s="302">
        <f t="shared" si="56"/>
        <v>1</v>
      </c>
      <c r="I72" s="302">
        <f t="shared" ref="I72" si="57">+I69+I70+I71</f>
        <v>1</v>
      </c>
      <c r="J72" s="302">
        <f t="shared" ref="J72" si="58">+J69+J70+J71</f>
        <v>1</v>
      </c>
      <c r="K72" s="982">
        <f t="shared" ref="K72:L72" si="59">+K69+K70+K71</f>
        <v>0.99999999999999989</v>
      </c>
      <c r="L72" s="303">
        <f t="shared" si="59"/>
        <v>0.99999999999999989</v>
      </c>
    </row>
    <row r="73" spans="2:16" s="11" customFormat="1" ht="11.25" customHeight="1" x14ac:dyDescent="0.2">
      <c r="B73" s="250"/>
      <c r="C73" s="250"/>
      <c r="D73" s="250"/>
      <c r="E73" s="250"/>
      <c r="F73" s="250"/>
      <c r="G73" s="250"/>
      <c r="H73" s="250"/>
      <c r="I73" s="250"/>
      <c r="J73" s="250"/>
      <c r="K73" s="250"/>
      <c r="L73" s="250"/>
    </row>
    <row r="74" spans="2:16" s="19" customFormat="1" ht="13.5" customHeight="1" x14ac:dyDescent="0.2">
      <c r="B74" s="286"/>
      <c r="C74" s="287"/>
      <c r="D74" s="287"/>
      <c r="E74" s="287"/>
      <c r="F74" s="287"/>
      <c r="G74" s="287"/>
      <c r="H74" s="287"/>
      <c r="I74" s="287"/>
      <c r="J74" s="287"/>
      <c r="K74" s="287"/>
      <c r="L74" s="287"/>
    </row>
    <row r="75" spans="2:16" ht="21" customHeight="1" x14ac:dyDescent="0.2">
      <c r="B75" s="288" t="s">
        <v>83</v>
      </c>
      <c r="C75" s="289">
        <v>45382</v>
      </c>
      <c r="D75" s="289">
        <v>45473</v>
      </c>
      <c r="E75" s="289">
        <v>45565</v>
      </c>
      <c r="F75" s="289">
        <v>45657</v>
      </c>
      <c r="G75" s="289">
        <v>45747</v>
      </c>
      <c r="H75" s="289">
        <v>45838</v>
      </c>
      <c r="I75" s="289">
        <v>45930</v>
      </c>
      <c r="J75" s="289">
        <v>46022</v>
      </c>
      <c r="K75" s="305">
        <v>46112</v>
      </c>
      <c r="L75" s="290">
        <v>46203</v>
      </c>
    </row>
    <row r="76" spans="2:16" ht="21" customHeight="1" x14ac:dyDescent="0.2">
      <c r="B76" s="144" t="s">
        <v>84</v>
      </c>
      <c r="C76" s="146">
        <f t="shared" ref="C76:H76" si="60">C77+C78</f>
        <v>58590.697834000006</v>
      </c>
      <c r="D76" s="145">
        <f t="shared" si="60"/>
        <v>59757.434290000005</v>
      </c>
      <c r="E76" s="145">
        <f t="shared" si="60"/>
        <v>60540.007187000003</v>
      </c>
      <c r="F76" s="145">
        <f t="shared" si="60"/>
        <v>62852.860947999994</v>
      </c>
      <c r="G76" s="145">
        <f t="shared" si="60"/>
        <v>61439.181988000011</v>
      </c>
      <c r="H76" s="145">
        <f t="shared" si="60"/>
        <v>62858.323297999996</v>
      </c>
      <c r="I76" s="145">
        <f t="shared" ref="I76" si="61">I77+I78</f>
        <v>63869.217533999996</v>
      </c>
      <c r="J76" s="145">
        <f t="shared" ref="J76" si="62">J77+J78</f>
        <v>66096.838067999997</v>
      </c>
      <c r="K76" s="978">
        <f t="shared" ref="K76:L76" si="63">K77+K78</f>
        <v>64880.921205999999</v>
      </c>
      <c r="L76" s="201">
        <f t="shared" si="63"/>
        <v>68377.422598000005</v>
      </c>
      <c r="N76" s="937"/>
      <c r="O76" s="937"/>
    </row>
    <row r="77" spans="2:16" ht="21" customHeight="1" x14ac:dyDescent="0.2">
      <c r="B77" s="141" t="s">
        <v>85</v>
      </c>
      <c r="C77" s="142">
        <v>45283.696045000004</v>
      </c>
      <c r="D77" s="143">
        <v>46214.806274000002</v>
      </c>
      <c r="E77" s="143">
        <v>47044.778120000003</v>
      </c>
      <c r="F77" s="143">
        <v>49171.394257999993</v>
      </c>
      <c r="G77" s="143">
        <v>47672.117523000008</v>
      </c>
      <c r="H77" s="143">
        <v>49821.094037999996</v>
      </c>
      <c r="I77" s="143">
        <v>50834.118803999998</v>
      </c>
      <c r="J77" s="143">
        <v>53012.669642999994</v>
      </c>
      <c r="K77" s="979">
        <v>51783.706678000002</v>
      </c>
      <c r="L77" s="200">
        <v>54441.244436000008</v>
      </c>
      <c r="N77" s="938"/>
    </row>
    <row r="78" spans="2:16" ht="21" customHeight="1" x14ac:dyDescent="0.2">
      <c r="B78" s="141" t="s">
        <v>86</v>
      </c>
      <c r="C78" s="142">
        <v>13307.001789</v>
      </c>
      <c r="D78" s="143">
        <v>13542.628015999999</v>
      </c>
      <c r="E78" s="143">
        <v>13495.229067</v>
      </c>
      <c r="F78" s="143">
        <v>13681.466689999999</v>
      </c>
      <c r="G78" s="143">
        <v>13767.064464999999</v>
      </c>
      <c r="H78" s="143">
        <v>13037.22926</v>
      </c>
      <c r="I78" s="143">
        <v>13035.098730000002</v>
      </c>
      <c r="J78" s="143">
        <v>13084.168424999998</v>
      </c>
      <c r="K78" s="979">
        <v>13097.214528</v>
      </c>
      <c r="L78" s="200">
        <v>13936.178162</v>
      </c>
      <c r="N78" s="938"/>
    </row>
    <row r="79" spans="2:16" ht="21" customHeight="1" x14ac:dyDescent="0.2">
      <c r="B79" s="144" t="s">
        <v>496</v>
      </c>
      <c r="C79" s="281">
        <f t="shared" ref="C79:H79" si="64">C80+C81+C82</f>
        <v>10037</v>
      </c>
      <c r="D79" s="280">
        <f t="shared" si="64"/>
        <v>10427</v>
      </c>
      <c r="E79" s="280">
        <f t="shared" si="64"/>
        <v>11009</v>
      </c>
      <c r="F79" s="280">
        <f t="shared" si="64"/>
        <v>11440</v>
      </c>
      <c r="G79" s="280">
        <f t="shared" si="64"/>
        <v>12521</v>
      </c>
      <c r="H79" s="280">
        <f t="shared" si="64"/>
        <v>13191.5</v>
      </c>
      <c r="I79" s="280">
        <f t="shared" ref="I79" si="65">I80+I81+I82</f>
        <v>14268</v>
      </c>
      <c r="J79" s="280">
        <f>J80+J81+J82</f>
        <v>14514</v>
      </c>
      <c r="K79" s="946">
        <f>K80+K81+K82</f>
        <v>14685</v>
      </c>
      <c r="L79" s="291">
        <f>L80+L81+L82</f>
        <v>16329</v>
      </c>
      <c r="N79" s="1089"/>
      <c r="O79" s="844"/>
      <c r="P79" s="752"/>
    </row>
    <row r="80" spans="2:16" ht="21" customHeight="1" x14ac:dyDescent="0.2">
      <c r="B80" s="292" t="s">
        <v>263</v>
      </c>
      <c r="C80" s="211">
        <v>3726</v>
      </c>
      <c r="D80" s="219">
        <v>4102</v>
      </c>
      <c r="E80" s="219">
        <v>4403</v>
      </c>
      <c r="F80" s="219">
        <v>4578</v>
      </c>
      <c r="G80" s="219">
        <v>5187.5</v>
      </c>
      <c r="H80" s="219">
        <v>5378</v>
      </c>
      <c r="I80" s="219">
        <v>5846</v>
      </c>
      <c r="J80" s="219">
        <v>5950.5</v>
      </c>
      <c r="K80" s="951">
        <v>6131</v>
      </c>
      <c r="L80" s="293">
        <v>6615</v>
      </c>
      <c r="N80" s="867"/>
      <c r="O80" s="844"/>
    </row>
    <row r="81" spans="2:15" ht="21" customHeight="1" x14ac:dyDescent="0.2">
      <c r="B81" s="292" t="s">
        <v>315</v>
      </c>
      <c r="C81" s="211">
        <v>1975</v>
      </c>
      <c r="D81" s="219">
        <v>1878</v>
      </c>
      <c r="E81" s="219">
        <v>1989</v>
      </c>
      <c r="F81" s="219">
        <v>2060</v>
      </c>
      <c r="G81" s="219">
        <v>2390.5</v>
      </c>
      <c r="H81" s="219">
        <v>2662</v>
      </c>
      <c r="I81" s="219">
        <v>3069</v>
      </c>
      <c r="J81" s="219">
        <v>2998.5</v>
      </c>
      <c r="K81" s="951">
        <v>2991</v>
      </c>
      <c r="L81" s="293">
        <v>3537</v>
      </c>
      <c r="N81" s="867"/>
      <c r="O81" s="844"/>
    </row>
    <row r="82" spans="2:15" ht="21" customHeight="1" x14ac:dyDescent="0.2">
      <c r="B82" s="292" t="s">
        <v>264</v>
      </c>
      <c r="C82" s="211">
        <v>4336</v>
      </c>
      <c r="D82" s="219">
        <v>4447</v>
      </c>
      <c r="E82" s="219">
        <v>4617</v>
      </c>
      <c r="F82" s="219">
        <v>4802</v>
      </c>
      <c r="G82" s="219">
        <v>4943</v>
      </c>
      <c r="H82" s="219">
        <v>5151.5</v>
      </c>
      <c r="I82" s="219">
        <v>5353</v>
      </c>
      <c r="J82" s="219">
        <v>5565</v>
      </c>
      <c r="K82" s="951">
        <v>5563</v>
      </c>
      <c r="L82" s="293">
        <v>6177</v>
      </c>
      <c r="N82" s="867"/>
      <c r="O82" s="844"/>
    </row>
    <row r="83" spans="2:15" ht="21" customHeight="1" x14ac:dyDescent="0.2">
      <c r="B83" s="294" t="s">
        <v>265</v>
      </c>
      <c r="C83" s="171">
        <f t="shared" ref="C83:H83" si="66">C76+C79</f>
        <v>68627.697834000006</v>
      </c>
      <c r="D83" s="170">
        <f t="shared" si="66"/>
        <v>70184.434290000005</v>
      </c>
      <c r="E83" s="170">
        <f t="shared" si="66"/>
        <v>71549.00718700001</v>
      </c>
      <c r="F83" s="170">
        <f t="shared" si="66"/>
        <v>74292.860947999987</v>
      </c>
      <c r="G83" s="170">
        <f t="shared" si="66"/>
        <v>73960.181988000011</v>
      </c>
      <c r="H83" s="170">
        <f t="shared" si="66"/>
        <v>76049.823298000003</v>
      </c>
      <c r="I83" s="170">
        <f t="shared" ref="I83" si="67">I76+I79</f>
        <v>78137.217533999996</v>
      </c>
      <c r="J83" s="170">
        <f>J76+J79</f>
        <v>80610.838067999997</v>
      </c>
      <c r="K83" s="984">
        <f>K76+K79</f>
        <v>79565.921205999999</v>
      </c>
      <c r="L83" s="203">
        <f>L76+L79</f>
        <v>84706.422598000005</v>
      </c>
      <c r="O83" s="844"/>
    </row>
    <row r="84" spans="2:15" ht="11.25" customHeight="1" x14ac:dyDescent="0.2">
      <c r="B84" s="1099"/>
      <c r="C84" s="1099"/>
      <c r="D84" s="1099"/>
      <c r="E84" s="1099"/>
      <c r="F84" s="1099"/>
      <c r="G84" s="1099"/>
      <c r="H84" s="1099"/>
      <c r="I84" s="1099"/>
      <c r="J84" s="1099"/>
      <c r="K84" s="1099"/>
      <c r="L84" s="1099"/>
    </row>
    <row r="85" spans="2:15" ht="21" customHeight="1" x14ac:dyDescent="0.2">
      <c r="B85" s="1100" t="s">
        <v>434</v>
      </c>
      <c r="C85" s="1101"/>
      <c r="D85" s="1101"/>
      <c r="E85" s="1101"/>
      <c r="F85" s="1101"/>
      <c r="G85" s="1101"/>
      <c r="H85" s="1101"/>
      <c r="I85" s="1101"/>
      <c r="J85" s="1101"/>
      <c r="K85" s="1101"/>
      <c r="L85" s="1101"/>
    </row>
    <row r="86" spans="2:15" ht="21" customHeight="1" x14ac:dyDescent="0.2">
      <c r="B86" s="163" t="s">
        <v>494</v>
      </c>
      <c r="C86" s="163"/>
      <c r="D86" s="163"/>
      <c r="E86" s="163"/>
      <c r="F86" s="163"/>
      <c r="G86" s="163"/>
      <c r="H86" s="163"/>
      <c r="I86" s="163"/>
      <c r="J86" s="163"/>
      <c r="K86" s="163"/>
      <c r="L86" s="163"/>
    </row>
    <row r="87" spans="2:15" ht="21" customHeight="1" x14ac:dyDescent="0.2">
      <c r="B87" s="1099" t="s">
        <v>685</v>
      </c>
      <c r="C87" s="1099"/>
      <c r="D87" s="1099"/>
      <c r="E87" s="1099"/>
      <c r="F87" s="1099"/>
      <c r="G87" s="1099"/>
      <c r="H87" s="1099"/>
      <c r="I87" s="1099"/>
      <c r="J87" s="1099"/>
      <c r="K87" s="1099"/>
      <c r="L87" s="1099"/>
    </row>
  </sheetData>
  <mergeCells count="5">
    <mergeCell ref="B5:L5"/>
    <mergeCell ref="B84:L84"/>
    <mergeCell ref="B61:L61"/>
    <mergeCell ref="B85:L85"/>
    <mergeCell ref="B87:L87"/>
  </mergeCells>
  <hyperlinks>
    <hyperlink ref="A14" location="'Piraeus BG'!W780" display="'Piraeus BG'!W780" xr:uid="{00000000-0004-0000-0300-000000000000}"/>
    <hyperlink ref="A10" location="'Piraeus BG'!V780" display="'Piraeus BG'!V780" xr:uid="{00000000-0004-0000-0300-000001000000}"/>
    <hyperlink ref="A23" location="'Piraeus BG'!W780" display="'Piraeus BG'!W780" xr:uid="{00000000-0004-0000-0300-000002000000}"/>
    <hyperlink ref="A19" location="'Piraeus BG'!V780" display="'Piraeus BG'!V780" xr:uid="{00000000-0004-0000-0300-000003000000}"/>
    <hyperlink ref="L2" location="'Cover '!A1" display="Back to Cover" xr:uid="{00000000-0004-0000-0300-000004000000}"/>
  </hyperlinks>
  <printOptions horizontalCentered="1" verticalCentered="1"/>
  <pageMargins left="0" right="0" top="0" bottom="0" header="0" footer="0"/>
  <pageSetup paperSize="8" scale="48" orientation="landscape" r:id="rId1"/>
  <headerFooter alignWithMargins="0"/>
  <ignoredErrors>
    <ignoredError sqref="I29"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Q54"/>
  <sheetViews>
    <sheetView showGridLines="0" view="pageBreakPreview" zoomScale="90" zoomScaleNormal="90" zoomScaleSheetLayoutView="90" workbookViewId="0">
      <pane xSplit="2" ySplit="9" topLeftCell="C10" activePane="bottomRight" state="frozen"/>
      <selection activeCell="M28" sqref="M28"/>
      <selection pane="topRight" activeCell="M28" sqref="M28"/>
      <selection pane="bottomLeft" activeCell="M28" sqref="M28"/>
      <selection pane="bottomRight" activeCell="L51" sqref="L51"/>
    </sheetView>
  </sheetViews>
  <sheetFormatPr defaultColWidth="9.140625" defaultRowHeight="15.75" x14ac:dyDescent="0.2"/>
  <cols>
    <col min="1" max="1" width="2.42578125" style="6" customWidth="1"/>
    <col min="2" max="2" width="83" style="6" customWidth="1"/>
    <col min="3" max="12" width="15.85546875" style="6" customWidth="1"/>
    <col min="13" max="13" width="2.42578125" style="6" customWidth="1"/>
    <col min="14" max="14" width="9.140625" style="6"/>
    <col min="15" max="15" width="19.7109375" style="6" customWidth="1"/>
    <col min="16" max="16384" width="9.140625" style="6"/>
  </cols>
  <sheetData>
    <row r="1" spans="1:16" ht="15.75" customHeight="1" x14ac:dyDescent="0.2"/>
    <row r="2" spans="1:16" ht="15.75" customHeight="1" x14ac:dyDescent="0.2">
      <c r="C2" s="113"/>
      <c r="D2" s="113"/>
      <c r="E2" s="113"/>
      <c r="F2" s="113"/>
      <c r="G2" s="113"/>
      <c r="H2" s="113"/>
      <c r="I2" s="113"/>
      <c r="J2" s="113"/>
      <c r="K2" s="113"/>
      <c r="L2" s="112" t="s">
        <v>18</v>
      </c>
    </row>
    <row r="3" spans="1:16" ht="15.75" customHeight="1" x14ac:dyDescent="0.2"/>
    <row r="4" spans="1:16" ht="15.75" customHeight="1" x14ac:dyDescent="0.2"/>
    <row r="5" spans="1:16" s="17" customFormat="1" ht="28.5" x14ac:dyDescent="0.2">
      <c r="A5" s="16"/>
      <c r="B5" s="1091" t="s">
        <v>43</v>
      </c>
      <c r="C5" s="1102"/>
      <c r="D5" s="1102"/>
      <c r="E5" s="1102"/>
      <c r="F5" s="1102"/>
      <c r="G5" s="1102"/>
      <c r="H5" s="1102"/>
      <c r="I5" s="1102"/>
      <c r="J5" s="1102"/>
      <c r="K5" s="1102"/>
      <c r="L5" s="1102"/>
    </row>
    <row r="6" spans="1:16" s="17" customFormat="1" ht="9" customHeight="1" x14ac:dyDescent="0.2">
      <c r="A6" s="16"/>
      <c r="B6" s="18"/>
    </row>
    <row r="7" spans="1:16" s="17" customFormat="1" ht="15.75" customHeight="1" x14ac:dyDescent="0.2">
      <c r="A7" s="18"/>
      <c r="B7" s="21"/>
      <c r="O7" s="53"/>
    </row>
    <row r="8" spans="1:16" ht="11.45" customHeight="1" x14ac:dyDescent="0.2"/>
    <row r="9" spans="1:16" s="7" customFormat="1" ht="40.15" customHeight="1" x14ac:dyDescent="0.2">
      <c r="B9" s="325" t="s">
        <v>0</v>
      </c>
      <c r="C9" s="326" t="s">
        <v>256</v>
      </c>
      <c r="D9" s="326" t="s">
        <v>336</v>
      </c>
      <c r="E9" s="326" t="s">
        <v>371</v>
      </c>
      <c r="F9" s="326" t="s">
        <v>388</v>
      </c>
      <c r="G9" s="326" t="s">
        <v>413</v>
      </c>
      <c r="H9" s="326" t="s">
        <v>420</v>
      </c>
      <c r="I9" s="326" t="s">
        <v>460</v>
      </c>
      <c r="J9" s="326" t="s">
        <v>512</v>
      </c>
      <c r="K9" s="327" t="s">
        <v>645</v>
      </c>
      <c r="L9" s="328" t="s">
        <v>665</v>
      </c>
    </row>
    <row r="10" spans="1:16" s="9" customFormat="1" ht="24.75" customHeight="1" x14ac:dyDescent="0.2">
      <c r="B10" s="141" t="s">
        <v>1</v>
      </c>
      <c r="C10" s="211">
        <v>517.62899999999991</v>
      </c>
      <c r="D10" s="219">
        <v>527.55799999999999</v>
      </c>
      <c r="E10" s="219">
        <v>529.50533123000014</v>
      </c>
      <c r="F10" s="219">
        <v>513.51499999999999</v>
      </c>
      <c r="G10" s="219">
        <v>480.952</v>
      </c>
      <c r="H10" s="219">
        <v>473.56599999999997</v>
      </c>
      <c r="I10" s="219">
        <v>471.23099999999999</v>
      </c>
      <c r="J10" s="219">
        <v>476.851</v>
      </c>
      <c r="K10" s="951">
        <v>481.29699999999997</v>
      </c>
      <c r="L10" s="293">
        <v>508.68299999999994</v>
      </c>
      <c r="O10" s="856"/>
      <c r="P10" s="94"/>
    </row>
    <row r="11" spans="1:16" s="9" customFormat="1" ht="24.75" customHeight="1" x14ac:dyDescent="0.2">
      <c r="B11" s="141" t="s">
        <v>637</v>
      </c>
      <c r="C11" s="211">
        <v>125.37299999999999</v>
      </c>
      <c r="D11" s="219">
        <v>159.35300000000001</v>
      </c>
      <c r="E11" s="219">
        <v>134.57963081</v>
      </c>
      <c r="F11" s="219">
        <v>141.94399999999999</v>
      </c>
      <c r="G11" s="219">
        <v>137.21099999999998</v>
      </c>
      <c r="H11" s="219">
        <v>142.5</v>
      </c>
      <c r="I11" s="219">
        <v>140.33599999999998</v>
      </c>
      <c r="J11" s="219">
        <v>170.52199999999999</v>
      </c>
      <c r="K11" s="951">
        <v>165.53100000000001</v>
      </c>
      <c r="L11" s="293">
        <v>179.84700000000001</v>
      </c>
      <c r="O11" s="856"/>
      <c r="P11" s="94"/>
    </row>
    <row r="12" spans="1:16" s="9" customFormat="1" ht="24.75" customHeight="1" x14ac:dyDescent="0.2">
      <c r="B12" s="141" t="s">
        <v>254</v>
      </c>
      <c r="C12" s="211">
        <v>19.946999999999999</v>
      </c>
      <c r="D12" s="219">
        <v>19.885999999999999</v>
      </c>
      <c r="E12" s="219">
        <v>21.317130179999999</v>
      </c>
      <c r="F12" s="219">
        <v>25.41</v>
      </c>
      <c r="G12" s="219">
        <v>22.512</v>
      </c>
      <c r="H12" s="219">
        <v>23.032</v>
      </c>
      <c r="I12" s="219">
        <v>23.527999999999999</v>
      </c>
      <c r="J12" s="219">
        <v>25.876000000000001</v>
      </c>
      <c r="K12" s="951">
        <v>25.286999999999999</v>
      </c>
      <c r="L12" s="293">
        <v>25.169</v>
      </c>
      <c r="O12" s="856"/>
      <c r="P12" s="94"/>
    </row>
    <row r="13" spans="1:16" s="9" customFormat="1" ht="24.75" customHeight="1" x14ac:dyDescent="0.2">
      <c r="B13" s="141" t="s">
        <v>604</v>
      </c>
      <c r="C13" s="211"/>
      <c r="D13" s="219"/>
      <c r="E13" s="219"/>
      <c r="F13" s="219"/>
      <c r="G13" s="219"/>
      <c r="H13" s="219"/>
      <c r="I13" s="219"/>
      <c r="J13" s="219">
        <v>10.096993999999999</v>
      </c>
      <c r="K13" s="951">
        <v>19.528997</v>
      </c>
      <c r="L13" s="293">
        <v>46.156074999999994</v>
      </c>
      <c r="O13" s="856"/>
      <c r="P13" s="94"/>
    </row>
    <row r="14" spans="1:16" s="9" customFormat="1" ht="24.75" customHeight="1" x14ac:dyDescent="0.2">
      <c r="B14" s="358" t="s">
        <v>190</v>
      </c>
      <c r="C14" s="359">
        <f t="shared" ref="C14:H14" si="0">C11+C10+C12</f>
        <v>662.94899999999996</v>
      </c>
      <c r="D14" s="359">
        <f t="shared" si="0"/>
        <v>706.79700000000003</v>
      </c>
      <c r="E14" s="359">
        <f t="shared" si="0"/>
        <v>685.40209222000021</v>
      </c>
      <c r="F14" s="359">
        <f t="shared" si="0"/>
        <v>680.86899999999991</v>
      </c>
      <c r="G14" s="359">
        <f>G11+G10+G12</f>
        <v>640.67499999999995</v>
      </c>
      <c r="H14" s="359">
        <f t="shared" si="0"/>
        <v>639.09800000000007</v>
      </c>
      <c r="I14" s="359">
        <f t="shared" ref="I14" si="1">I11+I10+I12</f>
        <v>635.09500000000003</v>
      </c>
      <c r="J14" s="359">
        <f>J11+J10+J12+J13</f>
        <v>683.34599400000002</v>
      </c>
      <c r="K14" s="360">
        <f>K11+K10+K12+K13</f>
        <v>691.64399700000001</v>
      </c>
      <c r="L14" s="361">
        <f>L11+L10+L12+L13</f>
        <v>759.85507499999994</v>
      </c>
      <c r="O14" s="856"/>
      <c r="P14" s="94"/>
    </row>
    <row r="15" spans="1:16" s="9" customFormat="1" ht="24.75" customHeight="1" x14ac:dyDescent="0.2">
      <c r="B15" s="141" t="s">
        <v>622</v>
      </c>
      <c r="C15" s="211">
        <v>-4.4270000000000005</v>
      </c>
      <c r="D15" s="219">
        <v>7.47</v>
      </c>
      <c r="E15" s="219">
        <v>33.253386879999915</v>
      </c>
      <c r="F15" s="219">
        <v>28.351999999999997</v>
      </c>
      <c r="G15" s="219">
        <v>18.872999999999998</v>
      </c>
      <c r="H15" s="219">
        <v>47.170999999999999</v>
      </c>
      <c r="I15" s="219">
        <v>18.641000000000002</v>
      </c>
      <c r="J15" s="219">
        <v>34.754941228987974</v>
      </c>
      <c r="K15" s="951">
        <v>-17.545000000000002</v>
      </c>
      <c r="L15" s="293">
        <v>20.786000000000005</v>
      </c>
      <c r="O15" s="856"/>
      <c r="P15" s="94"/>
    </row>
    <row r="16" spans="1:16" s="9" customFormat="1" ht="24.75" customHeight="1" x14ac:dyDescent="0.2">
      <c r="B16" s="141" t="s">
        <v>241</v>
      </c>
      <c r="C16" s="211">
        <v>-66.650999999999996</v>
      </c>
      <c r="D16" s="219">
        <v>11.755000000000001</v>
      </c>
      <c r="E16" s="219">
        <v>-9.9486770399999891</v>
      </c>
      <c r="F16" s="219">
        <v>20.843</v>
      </c>
      <c r="G16" s="219">
        <v>-10.088000000000001</v>
      </c>
      <c r="H16" s="219">
        <v>0.70700000000000007</v>
      </c>
      <c r="I16" s="219">
        <v>-5.3029999999999999</v>
      </c>
      <c r="J16" s="219">
        <v>4.4050060000000002</v>
      </c>
      <c r="K16" s="951">
        <v>-13.642996999999999</v>
      </c>
      <c r="L16" s="293">
        <v>7.3189250000000001</v>
      </c>
      <c r="O16" s="856"/>
      <c r="P16" s="94"/>
    </row>
    <row r="17" spans="2:16" s="9" customFormat="1" ht="24.75" customHeight="1" x14ac:dyDescent="0.2">
      <c r="B17" s="358" t="s">
        <v>191</v>
      </c>
      <c r="C17" s="359">
        <f t="shared" ref="C17:H17" si="2">C16+C10+C11+C12+C15</f>
        <v>591.87099999999987</v>
      </c>
      <c r="D17" s="359">
        <f t="shared" si="2"/>
        <v>726.02199999999993</v>
      </c>
      <c r="E17" s="359">
        <f t="shared" si="2"/>
        <v>708.70680206000009</v>
      </c>
      <c r="F17" s="359">
        <f t="shared" si="2"/>
        <v>730.06399999999985</v>
      </c>
      <c r="G17" s="359">
        <f t="shared" si="2"/>
        <v>649.46</v>
      </c>
      <c r="H17" s="359">
        <f t="shared" si="2"/>
        <v>686.976</v>
      </c>
      <c r="I17" s="359">
        <f t="shared" ref="I17" si="3">I16+I10+I11+I12+I15</f>
        <v>648.43299999999999</v>
      </c>
      <c r="J17" s="359">
        <f>J16+J10+J11+J12+J15+J13</f>
        <v>722.50594122898792</v>
      </c>
      <c r="K17" s="360">
        <f>K16+K10+K11+K12+K15+K13</f>
        <v>660.45600000000013</v>
      </c>
      <c r="L17" s="361">
        <f>L16+L10+L11+L12+L15+L13</f>
        <v>787.95999999999992</v>
      </c>
      <c r="O17" s="856"/>
      <c r="P17" s="94"/>
    </row>
    <row r="18" spans="2:16" s="9" customFormat="1" ht="24.75" customHeight="1" x14ac:dyDescent="0.2">
      <c r="B18" s="362" t="s">
        <v>638</v>
      </c>
      <c r="C18" s="363">
        <v>0</v>
      </c>
      <c r="D18" s="363">
        <v>11.949892</v>
      </c>
      <c r="E18" s="363">
        <v>0</v>
      </c>
      <c r="F18" s="363">
        <v>0</v>
      </c>
      <c r="G18" s="363">
        <v>0</v>
      </c>
      <c r="H18" s="363">
        <v>0</v>
      </c>
      <c r="I18" s="363">
        <v>0</v>
      </c>
      <c r="J18" s="363">
        <v>0</v>
      </c>
      <c r="K18" s="364">
        <v>0</v>
      </c>
      <c r="L18" s="365">
        <v>0</v>
      </c>
      <c r="O18" s="856"/>
    </row>
    <row r="19" spans="2:16" s="9" customFormat="1" ht="24.75" customHeight="1" x14ac:dyDescent="0.2">
      <c r="B19" s="721" t="s">
        <v>393</v>
      </c>
      <c r="C19" s="722">
        <v>-43.292000000000002</v>
      </c>
      <c r="D19" s="722">
        <v>0</v>
      </c>
      <c r="E19" s="722">
        <v>0</v>
      </c>
      <c r="F19" s="722">
        <v>0</v>
      </c>
      <c r="G19" s="722">
        <v>0</v>
      </c>
      <c r="H19" s="722">
        <v>0</v>
      </c>
      <c r="I19" s="722">
        <v>0</v>
      </c>
      <c r="J19" s="722">
        <v>0</v>
      </c>
      <c r="K19" s="723">
        <v>0</v>
      </c>
      <c r="L19" s="724">
        <v>0</v>
      </c>
      <c r="O19" s="856"/>
    </row>
    <row r="20" spans="2:16" s="9" customFormat="1" ht="24.75" customHeight="1" x14ac:dyDescent="0.2">
      <c r="B20" s="141" t="s">
        <v>2</v>
      </c>
      <c r="C20" s="211">
        <v>100.86799999999999</v>
      </c>
      <c r="D20" s="219">
        <v>100.80200000000001</v>
      </c>
      <c r="E20" s="219">
        <v>101.65485525</v>
      </c>
      <c r="F20" s="219">
        <v>151.71899999999999</v>
      </c>
      <c r="G20" s="219">
        <v>99.093000000000004</v>
      </c>
      <c r="H20" s="219">
        <v>103.46299999999999</v>
      </c>
      <c r="I20" s="219">
        <v>99.442999999999998</v>
      </c>
      <c r="J20" s="219">
        <v>136.27719300000001</v>
      </c>
      <c r="K20" s="951">
        <v>104.476102</v>
      </c>
      <c r="L20" s="293">
        <v>121.374317</v>
      </c>
      <c r="O20" s="856"/>
      <c r="P20" s="94"/>
    </row>
    <row r="21" spans="2:16" s="9" customFormat="1" ht="24.75" customHeight="1" x14ac:dyDescent="0.2">
      <c r="B21" s="141" t="s">
        <v>639</v>
      </c>
      <c r="C21" s="211">
        <v>72.945999999999998</v>
      </c>
      <c r="D21" s="219">
        <v>73.254999999999995</v>
      </c>
      <c r="E21" s="219">
        <v>75.398843909999997</v>
      </c>
      <c r="F21" s="219">
        <v>81.564000000000007</v>
      </c>
      <c r="G21" s="219">
        <v>93.73</v>
      </c>
      <c r="H21" s="219">
        <v>76.032000000000011</v>
      </c>
      <c r="I21" s="219">
        <v>78.41</v>
      </c>
      <c r="J21" s="219">
        <v>78.084261999999995</v>
      </c>
      <c r="K21" s="951">
        <v>98.126785999999996</v>
      </c>
      <c r="L21" s="293">
        <v>78.067209000000005</v>
      </c>
      <c r="O21" s="856"/>
      <c r="P21" s="94"/>
    </row>
    <row r="22" spans="2:16" ht="24.75" customHeight="1" x14ac:dyDescent="0.2">
      <c r="B22" s="141" t="s">
        <v>7</v>
      </c>
      <c r="C22" s="211">
        <v>28.614999999999998</v>
      </c>
      <c r="D22" s="219">
        <v>29.193999999999999</v>
      </c>
      <c r="E22" s="219">
        <v>30.551236739999993</v>
      </c>
      <c r="F22" s="219">
        <v>30.558</v>
      </c>
      <c r="G22" s="219">
        <v>31.151</v>
      </c>
      <c r="H22" s="219">
        <v>32.353000000000002</v>
      </c>
      <c r="I22" s="219">
        <v>33.377000000000002</v>
      </c>
      <c r="J22" s="219">
        <v>34.283766</v>
      </c>
      <c r="K22" s="951">
        <v>32.429605000000002</v>
      </c>
      <c r="L22" s="293">
        <v>33.798787000000004</v>
      </c>
      <c r="O22" s="856"/>
      <c r="P22" s="94"/>
    </row>
    <row r="23" spans="2:16" ht="24.75" customHeight="1" x14ac:dyDescent="0.2">
      <c r="B23" s="141" t="s">
        <v>603</v>
      </c>
      <c r="C23" s="211"/>
      <c r="D23" s="219"/>
      <c r="E23" s="219"/>
      <c r="F23" s="219"/>
      <c r="G23" s="219"/>
      <c r="H23" s="219"/>
      <c r="I23" s="219"/>
      <c r="J23" s="219">
        <v>7.1257789999999996</v>
      </c>
      <c r="K23" s="951">
        <v>11.015506</v>
      </c>
      <c r="L23" s="293">
        <v>11.075688000000001</v>
      </c>
      <c r="O23" s="856"/>
      <c r="P23" s="94"/>
    </row>
    <row r="24" spans="2:16" s="9" customFormat="1" ht="24.75" customHeight="1" x14ac:dyDescent="0.2">
      <c r="B24" s="358" t="s">
        <v>192</v>
      </c>
      <c r="C24" s="366">
        <f t="shared" ref="C24:G24" si="4">C22+C21+C20</f>
        <v>202.42899999999997</v>
      </c>
      <c r="D24" s="366">
        <f t="shared" si="4"/>
        <v>203.251</v>
      </c>
      <c r="E24" s="366">
        <f t="shared" si="4"/>
        <v>207.60493589999999</v>
      </c>
      <c r="F24" s="366">
        <f t="shared" si="4"/>
        <v>263.84100000000001</v>
      </c>
      <c r="G24" s="366">
        <f t="shared" si="4"/>
        <v>223.97399999999999</v>
      </c>
      <c r="H24" s="366">
        <f>H22+H21+H20</f>
        <v>211.84800000000001</v>
      </c>
      <c r="I24" s="366">
        <f t="shared" ref="I24" si="5">I22+I21+I20</f>
        <v>211.23000000000002</v>
      </c>
      <c r="J24" s="366">
        <f>J22+J21+J20+J23</f>
        <v>255.77099999999999</v>
      </c>
      <c r="K24" s="367">
        <f>K22+K21+K20+K23</f>
        <v>246.04799899999998</v>
      </c>
      <c r="L24" s="368">
        <f>L22+L21+L20+L23</f>
        <v>244.31600100000003</v>
      </c>
      <c r="N24" s="39"/>
      <c r="O24" s="856"/>
      <c r="P24" s="94"/>
    </row>
    <row r="25" spans="2:16" s="9" customFormat="1" ht="24.75" customHeight="1" x14ac:dyDescent="0.2">
      <c r="B25" s="369" t="s">
        <v>127</v>
      </c>
      <c r="C25" s="370">
        <v>9.6033038800000003</v>
      </c>
      <c r="D25" s="370">
        <v>4.2904095</v>
      </c>
      <c r="E25" s="370">
        <v>1.837108</v>
      </c>
      <c r="F25" s="370">
        <v>38.653692239999998</v>
      </c>
      <c r="G25" s="370">
        <v>2.4</v>
      </c>
      <c r="H25" s="370">
        <v>3.8</v>
      </c>
      <c r="I25" s="370">
        <v>4.8</v>
      </c>
      <c r="J25" s="370">
        <v>21.463821250000002</v>
      </c>
      <c r="K25" s="371">
        <v>0</v>
      </c>
      <c r="L25" s="372">
        <v>0</v>
      </c>
      <c r="O25" s="856"/>
    </row>
    <row r="26" spans="2:16" s="9" customFormat="1" ht="11.25" customHeight="1" x14ac:dyDescent="0.35">
      <c r="B26" s="313"/>
      <c r="C26" s="308"/>
      <c r="D26" s="308"/>
      <c r="E26" s="308"/>
      <c r="F26" s="308"/>
      <c r="G26" s="308"/>
      <c r="H26" s="308"/>
      <c r="I26" s="308"/>
      <c r="J26" s="308"/>
      <c r="K26" s="319"/>
      <c r="L26" s="314"/>
      <c r="O26" s="856"/>
    </row>
    <row r="27" spans="2:16" s="9" customFormat="1" ht="24.75" customHeight="1" x14ac:dyDescent="0.2">
      <c r="B27" s="329" t="s">
        <v>193</v>
      </c>
      <c r="C27" s="330">
        <v>389.44199999999989</v>
      </c>
      <c r="D27" s="330">
        <v>522.77100000000007</v>
      </c>
      <c r="E27" s="330">
        <v>501.1018661600001</v>
      </c>
      <c r="F27" s="330">
        <v>466.22299999999996</v>
      </c>
      <c r="G27" s="330">
        <v>425.48599999999999</v>
      </c>
      <c r="H27" s="330">
        <v>475.1280000000001</v>
      </c>
      <c r="I27" s="330">
        <v>437.20299999999997</v>
      </c>
      <c r="J27" s="330">
        <v>466.73494122898796</v>
      </c>
      <c r="K27" s="331">
        <v>414.40800000000002</v>
      </c>
      <c r="L27" s="332">
        <v>543.64400000000001</v>
      </c>
      <c r="O27" s="856"/>
      <c r="P27" s="94"/>
    </row>
    <row r="28" spans="2:16" s="9" customFormat="1" ht="13.15" customHeight="1" x14ac:dyDescent="0.35">
      <c r="B28" s="321"/>
      <c r="C28" s="322"/>
      <c r="D28" s="322"/>
      <c r="E28" s="322"/>
      <c r="F28" s="322"/>
      <c r="G28" s="322"/>
      <c r="H28" s="322"/>
      <c r="I28" s="322"/>
      <c r="J28" s="322"/>
      <c r="K28" s="323"/>
      <c r="L28" s="324"/>
      <c r="O28" s="856"/>
    </row>
    <row r="29" spans="2:16" s="19" customFormat="1" ht="24.75" customHeight="1" x14ac:dyDescent="0.2">
      <c r="B29" s="141" t="s">
        <v>27</v>
      </c>
      <c r="C29" s="211">
        <v>58.474000000000004</v>
      </c>
      <c r="D29" s="219">
        <v>43.260999999999996</v>
      </c>
      <c r="E29" s="219">
        <v>51.714784479999999</v>
      </c>
      <c r="F29" s="219">
        <v>127.18400000000001</v>
      </c>
      <c r="G29" s="219">
        <v>35.253</v>
      </c>
      <c r="H29" s="219">
        <v>93.966999999999999</v>
      </c>
      <c r="I29" s="219">
        <v>67.745000000000005</v>
      </c>
      <c r="J29" s="219">
        <v>91.804999999999993</v>
      </c>
      <c r="K29" s="951">
        <v>43.756</v>
      </c>
      <c r="L29" s="293">
        <v>65.218000000000004</v>
      </c>
      <c r="O29" s="856"/>
    </row>
    <row r="30" spans="2:16" s="19" customFormat="1" ht="24.75" customHeight="1" x14ac:dyDescent="0.2">
      <c r="B30" s="315" t="s">
        <v>640</v>
      </c>
      <c r="C30" s="309">
        <v>15.423</v>
      </c>
      <c r="D30" s="316">
        <v>19.857999999999997</v>
      </c>
      <c r="E30" s="316">
        <v>31.755784480000003</v>
      </c>
      <c r="F30" s="316">
        <v>15.779000000000012</v>
      </c>
      <c r="G30" s="316">
        <v>14.051887050000003</v>
      </c>
      <c r="H30" s="316">
        <v>49.821267639999995</v>
      </c>
      <c r="I30" s="316">
        <v>50.864216650000003</v>
      </c>
      <c r="J30" s="316">
        <v>33.110071969999993</v>
      </c>
      <c r="K30" s="975">
        <v>20.627000000000002</v>
      </c>
      <c r="L30" s="357">
        <v>49.667000000000002</v>
      </c>
      <c r="O30" s="856"/>
      <c r="P30" s="41"/>
    </row>
    <row r="31" spans="2:16" s="19" customFormat="1" ht="24.75" customHeight="1" x14ac:dyDescent="0.2">
      <c r="B31" s="315" t="s">
        <v>392</v>
      </c>
      <c r="C31" s="309">
        <v>12.14</v>
      </c>
      <c r="D31" s="316">
        <v>0</v>
      </c>
      <c r="E31" s="316">
        <v>0</v>
      </c>
      <c r="F31" s="316">
        <v>86.33</v>
      </c>
      <c r="G31" s="316">
        <v>0.44911295000000001</v>
      </c>
      <c r="H31" s="316">
        <v>24.955732359999999</v>
      </c>
      <c r="I31" s="316">
        <v>0.52778334999999998</v>
      </c>
      <c r="J31" s="316">
        <v>37.546928030000004</v>
      </c>
      <c r="K31" s="975">
        <v>8</v>
      </c>
      <c r="L31" s="357">
        <v>0</v>
      </c>
      <c r="O31" s="856"/>
    </row>
    <row r="32" spans="2:16" s="19" customFormat="1" ht="24.75" customHeight="1" x14ac:dyDescent="0.2">
      <c r="B32" s="315" t="s">
        <v>259</v>
      </c>
      <c r="C32" s="309">
        <v>20.556513000000002</v>
      </c>
      <c r="D32" s="316">
        <v>14.782999999999999</v>
      </c>
      <c r="E32" s="316">
        <v>11.299293</v>
      </c>
      <c r="F32" s="316">
        <v>15.120611999999999</v>
      </c>
      <c r="G32" s="316">
        <v>11.106499999999999</v>
      </c>
      <c r="H32" s="316">
        <v>10.156400000000001</v>
      </c>
      <c r="I32" s="316">
        <v>8.3701893700000021</v>
      </c>
      <c r="J32" s="316">
        <v>12.67141382</v>
      </c>
      <c r="K32" s="975">
        <v>5.7240234900000004</v>
      </c>
      <c r="L32" s="357">
        <v>6.7850090000000005</v>
      </c>
      <c r="O32" s="856"/>
    </row>
    <row r="33" spans="2:17" s="19" customFormat="1" ht="24.75" customHeight="1" x14ac:dyDescent="0.2">
      <c r="B33" s="315" t="s">
        <v>260</v>
      </c>
      <c r="C33" s="309">
        <v>10.354487000000001</v>
      </c>
      <c r="D33" s="316">
        <v>8.6199999999999992</v>
      </c>
      <c r="E33" s="316">
        <v>8.6597069999999992</v>
      </c>
      <c r="F33" s="316">
        <v>9.9543879999999998</v>
      </c>
      <c r="G33" s="316">
        <v>9.6455000000000002</v>
      </c>
      <c r="H33" s="316">
        <v>9.0335999999999999</v>
      </c>
      <c r="I33" s="316">
        <v>7.9828106300000004</v>
      </c>
      <c r="J33" s="316">
        <v>8.47658618</v>
      </c>
      <c r="K33" s="975">
        <v>9.4049765099999991</v>
      </c>
      <c r="L33" s="357">
        <v>8.7659909999999996</v>
      </c>
      <c r="O33" s="856"/>
    </row>
    <row r="34" spans="2:17" s="19" customFormat="1" ht="24.75" customHeight="1" x14ac:dyDescent="0.2">
      <c r="B34" s="141" t="s">
        <v>641</v>
      </c>
      <c r="C34" s="211">
        <v>51.054000000000002</v>
      </c>
      <c r="D34" s="219">
        <v>3.2539999999999996</v>
      </c>
      <c r="E34" s="219">
        <v>8.1054410199999971</v>
      </c>
      <c r="F34" s="219">
        <v>110.273</v>
      </c>
      <c r="G34" s="219">
        <v>7.7969999999999997</v>
      </c>
      <c r="H34" s="219">
        <v>10.314</v>
      </c>
      <c r="I34" s="219">
        <v>18.817999999999998</v>
      </c>
      <c r="J34" s="219">
        <v>100.608</v>
      </c>
      <c r="K34" s="951">
        <v>-2.4889999999999999</v>
      </c>
      <c r="L34" s="293">
        <v>26.521000000000001</v>
      </c>
      <c r="O34" s="856"/>
    </row>
    <row r="35" spans="2:17" s="19" customFormat="1" ht="24.75" customHeight="1" x14ac:dyDescent="0.2">
      <c r="B35" s="315" t="s">
        <v>392</v>
      </c>
      <c r="C35" s="309">
        <v>0</v>
      </c>
      <c r="D35" s="316">
        <v>0</v>
      </c>
      <c r="E35" s="316">
        <v>0</v>
      </c>
      <c r="F35" s="316">
        <v>88.600999999999999</v>
      </c>
      <c r="G35" s="316">
        <v>-0.54234499999999997</v>
      </c>
      <c r="H35" s="316">
        <v>-2.4137309999999998</v>
      </c>
      <c r="I35" s="316">
        <v>26.804267000000003</v>
      </c>
      <c r="J35" s="316">
        <v>57.492507784198303</v>
      </c>
      <c r="K35" s="975">
        <v>0</v>
      </c>
      <c r="L35" s="357">
        <v>6</v>
      </c>
      <c r="O35" s="856"/>
    </row>
    <row r="36" spans="2:17" s="19" customFormat="1" ht="24.75" customHeight="1" x14ac:dyDescent="0.2">
      <c r="B36" s="358" t="s">
        <v>3</v>
      </c>
      <c r="C36" s="366">
        <v>324.9439999999999</v>
      </c>
      <c r="D36" s="366">
        <v>452.16000000000008</v>
      </c>
      <c r="E36" s="366">
        <v>432.61964066000007</v>
      </c>
      <c r="F36" s="366">
        <v>226.19599999999991</v>
      </c>
      <c r="G36" s="366">
        <v>382.43600000000004</v>
      </c>
      <c r="H36" s="366">
        <v>370.84700000000009</v>
      </c>
      <c r="I36" s="366">
        <v>350.64</v>
      </c>
      <c r="J36" s="366">
        <v>274.32194122898795</v>
      </c>
      <c r="K36" s="367">
        <v>373.14099999999996</v>
      </c>
      <c r="L36" s="368">
        <v>451.90499999999997</v>
      </c>
      <c r="O36" s="856"/>
      <c r="Q36" s="57"/>
    </row>
    <row r="37" spans="2:17" s="59" customFormat="1" ht="24.75" customHeight="1" x14ac:dyDescent="0.2">
      <c r="B37" s="141" t="s">
        <v>6</v>
      </c>
      <c r="C37" s="211">
        <v>91.998000000000005</v>
      </c>
      <c r="D37" s="219">
        <v>120.983</v>
      </c>
      <c r="E37" s="219">
        <v>114.39580782999995</v>
      </c>
      <c r="F37" s="219">
        <v>42.829000000000001</v>
      </c>
      <c r="G37" s="219">
        <v>100.398</v>
      </c>
      <c r="H37" s="219">
        <v>96.962000000000003</v>
      </c>
      <c r="I37" s="219">
        <v>91.867999999999995</v>
      </c>
      <c r="J37" s="219">
        <v>26.966000000000001</v>
      </c>
      <c r="K37" s="951">
        <v>95.150999999999996</v>
      </c>
      <c r="L37" s="293">
        <v>115.236</v>
      </c>
      <c r="O37" s="856"/>
      <c r="Q37" s="81"/>
    </row>
    <row r="38" spans="2:17" s="59" customFormat="1" ht="24.75" customHeight="1" x14ac:dyDescent="0.2">
      <c r="B38" s="373" t="s">
        <v>642</v>
      </c>
      <c r="C38" s="374">
        <v>110.8582381252</v>
      </c>
      <c r="D38" s="374">
        <v>118.76175007500001</v>
      </c>
      <c r="E38" s="374">
        <v>114.92856914999996</v>
      </c>
      <c r="F38" s="374">
        <v>104.7685607496</v>
      </c>
      <c r="G38" s="374">
        <v>101.06696270549999</v>
      </c>
      <c r="H38" s="374">
        <v>104.6011803944</v>
      </c>
      <c r="I38" s="374">
        <v>101.18629460149999</v>
      </c>
      <c r="J38" s="374">
        <v>60.751944548617502</v>
      </c>
      <c r="K38" s="375">
        <v>97.470999999999989</v>
      </c>
      <c r="L38" s="376">
        <v>116.976</v>
      </c>
      <c r="O38" s="856"/>
    </row>
    <row r="39" spans="2:17" s="59" customFormat="1" ht="24.75" customHeight="1" x14ac:dyDescent="0.2">
      <c r="B39" s="317" t="s">
        <v>194</v>
      </c>
      <c r="C39" s="211">
        <v>-0.186</v>
      </c>
      <c r="D39" s="219">
        <v>1.17</v>
      </c>
      <c r="E39" s="219">
        <v>-0.1746048999999999</v>
      </c>
      <c r="F39" s="219">
        <v>-0.97</v>
      </c>
      <c r="G39" s="219">
        <v>-1.6850000000000001</v>
      </c>
      <c r="H39" s="219">
        <v>-1.621</v>
      </c>
      <c r="I39" s="219">
        <v>-1.925</v>
      </c>
      <c r="J39" s="219">
        <v>-2.831</v>
      </c>
      <c r="K39" s="951">
        <v>-3.419</v>
      </c>
      <c r="L39" s="293">
        <v>0.81399999999999995</v>
      </c>
      <c r="O39" s="856"/>
    </row>
    <row r="40" spans="2:17" ht="24.75" customHeight="1" x14ac:dyDescent="0.2">
      <c r="B40" s="333" t="s">
        <v>195</v>
      </c>
      <c r="C40" s="334">
        <v>233.13199999999992</v>
      </c>
      <c r="D40" s="334">
        <v>330.00700000000006</v>
      </c>
      <c r="E40" s="334">
        <v>318.39843773000013</v>
      </c>
      <c r="F40" s="334">
        <v>184.3369999999999</v>
      </c>
      <c r="G40" s="334">
        <v>283.72300000000001</v>
      </c>
      <c r="H40" s="334">
        <v>275.50600000000009</v>
      </c>
      <c r="I40" s="334">
        <v>260.697</v>
      </c>
      <c r="J40" s="334">
        <v>250.18694122898793</v>
      </c>
      <c r="K40" s="335">
        <v>281.40899999999993</v>
      </c>
      <c r="L40" s="336">
        <v>335.85499999999996</v>
      </c>
      <c r="O40" s="856"/>
    </row>
    <row r="41" spans="2:17" ht="24.75" customHeight="1" x14ac:dyDescent="0.2">
      <c r="B41" s="337" t="s">
        <v>130</v>
      </c>
      <c r="C41" s="338">
        <f>+(C40-52.5/4)/1245.893686</f>
        <v>0.17658569304283314</v>
      </c>
      <c r="D41" s="338">
        <f>+(D40-52.5/4)/1245.212023</f>
        <v>0.25448035687654136</v>
      </c>
      <c r="E41" s="338">
        <f>+(E40-52.5/4)/1246.622609</f>
        <v>0.24488039565950157</v>
      </c>
      <c r="F41" s="338">
        <f>+(F40-52.5/4)/1246.037681</f>
        <v>0.13740515444331888</v>
      </c>
      <c r="G41" s="338">
        <f>+(G40-52.5/4)/1247.448117</f>
        <v>0.21692124611223412</v>
      </c>
      <c r="H41" s="338">
        <f>+(H40-52.5/4)/1247.575412</f>
        <v>0.21031273739146128</v>
      </c>
      <c r="I41" s="338">
        <f>+(I40-79.5/4)/1247.988213</f>
        <v>0.19296816868253547</v>
      </c>
      <c r="J41" s="338">
        <f>+(J40-20.4)/1230.028374</f>
        <v>0.18681434191776453</v>
      </c>
      <c r="K41" s="339">
        <f>+(K40-17.98120825)/1229.472312</f>
        <v>0.21426085742547402</v>
      </c>
      <c r="L41" s="340">
        <f>+(L40-17.98120825)/1232.003102</f>
        <v>0.25801379171365102</v>
      </c>
      <c r="O41" s="857"/>
    </row>
    <row r="42" spans="2:17" ht="24.75" customHeight="1" x14ac:dyDescent="0.2">
      <c r="B42" s="377" t="s">
        <v>196</v>
      </c>
      <c r="C42" s="378">
        <v>0</v>
      </c>
      <c r="D42" s="378">
        <v>0</v>
      </c>
      <c r="E42" s="378">
        <v>0</v>
      </c>
      <c r="F42" s="378">
        <v>0</v>
      </c>
      <c r="G42" s="378">
        <v>0</v>
      </c>
      <c r="H42" s="378">
        <v>0</v>
      </c>
      <c r="I42" s="378">
        <v>0</v>
      </c>
      <c r="J42" s="378">
        <v>0</v>
      </c>
      <c r="K42" s="379">
        <v>0</v>
      </c>
      <c r="L42" s="380">
        <v>0</v>
      </c>
      <c r="O42" s="856"/>
    </row>
    <row r="43" spans="2:17" ht="24.75" customHeight="1" x14ac:dyDescent="0.2">
      <c r="B43" s="381" t="s">
        <v>197</v>
      </c>
      <c r="C43" s="382">
        <v>0</v>
      </c>
      <c r="D43" s="382">
        <v>0</v>
      </c>
      <c r="E43" s="382">
        <v>0</v>
      </c>
      <c r="F43" s="382">
        <v>0</v>
      </c>
      <c r="G43" s="382">
        <v>0</v>
      </c>
      <c r="H43" s="382">
        <v>0</v>
      </c>
      <c r="I43" s="382">
        <v>0</v>
      </c>
      <c r="J43" s="382">
        <v>0</v>
      </c>
      <c r="K43" s="383">
        <v>0</v>
      </c>
      <c r="L43" s="384">
        <v>0</v>
      </c>
      <c r="O43" s="856"/>
    </row>
    <row r="44" spans="2:17" ht="11.25" customHeight="1" x14ac:dyDescent="0.2">
      <c r="B44" s="292"/>
      <c r="C44" s="250"/>
      <c r="D44" s="250"/>
      <c r="E44" s="250"/>
      <c r="F44" s="250"/>
      <c r="G44" s="250"/>
      <c r="H44" s="250"/>
      <c r="I44" s="250"/>
      <c r="J44" s="250"/>
      <c r="K44" s="320"/>
      <c r="L44" s="318"/>
      <c r="O44" s="856"/>
    </row>
    <row r="45" spans="2:17" ht="27" customHeight="1" x14ac:dyDescent="0.2">
      <c r="B45" s="341" t="s">
        <v>177</v>
      </c>
      <c r="C45" s="342">
        <f t="shared" ref="C45:E45" si="6">+C40+C31+C25-C16-C18-C38+C37-C15</f>
        <v>307.09306575479997</v>
      </c>
      <c r="D45" s="342">
        <f t="shared" si="6"/>
        <v>305.34376742500007</v>
      </c>
      <c r="E45" s="342">
        <f t="shared" si="6"/>
        <v>296.39807457000018</v>
      </c>
      <c r="F45" s="342">
        <f t="shared" ref="F45:J45" si="7">+F40+F31+F35+F25-F16-F18-F38+F37-F15</f>
        <v>286.78713149039993</v>
      </c>
      <c r="G45" s="342">
        <f t="shared" si="7"/>
        <v>276.57580524450003</v>
      </c>
      <c r="H45" s="342">
        <f t="shared" si="7"/>
        <v>246.33082096560014</v>
      </c>
      <c r="I45" s="342">
        <f t="shared" si="7"/>
        <v>270.17275574849998</v>
      </c>
      <c r="J45" s="342">
        <f t="shared" si="7"/>
        <v>293.74430651558089</v>
      </c>
      <c r="K45" s="343">
        <f t="shared" ref="K45:L45" si="8">+K40+K31+K35+K25-K16-K18-K38+K37-K15</f>
        <v>318.27699699999994</v>
      </c>
      <c r="L45" s="344">
        <f t="shared" si="8"/>
        <v>312.01007499999997</v>
      </c>
      <c r="O45" s="856"/>
    </row>
    <row r="46" spans="2:17" ht="27" customHeight="1" x14ac:dyDescent="0.2">
      <c r="B46" s="345" t="s">
        <v>128</v>
      </c>
      <c r="C46" s="346">
        <f>+(C45-52.5/4)/1245.893686</f>
        <v>0.23594955898572553</v>
      </c>
      <c r="D46" s="346">
        <f>+(D45-52.5/4)/1245.212023</f>
        <v>0.23467390454597309</v>
      </c>
      <c r="E46" s="346">
        <f>+(E45-52.5/4)/1246.622609</f>
        <v>0.22723242184515857</v>
      </c>
      <c r="F46" s="346">
        <f>+(F45-52.5/4)/1246.037681</f>
        <v>0.21962588745371972</v>
      </c>
      <c r="G46" s="346">
        <f>+(G45-52.5/4)/1247.448117</f>
        <v>0.21119179359384938</v>
      </c>
      <c r="H46" s="346">
        <f>+(H45-52.5/4)/1247.575412</f>
        <v>0.18692723399521452</v>
      </c>
      <c r="I46" s="346">
        <f>+(I45-79.5/4)/1247.988213</f>
        <v>0.2005609933981804</v>
      </c>
      <c r="J46" s="346">
        <f>+(J45-20.4)/1230.028374</f>
        <v>0.22222601713379736</v>
      </c>
      <c r="K46" s="347">
        <f>+(K45-17.98120825)/1229.472312</f>
        <v>0.24424770352209438</v>
      </c>
      <c r="L46" s="348">
        <f>+(L45-17.98120825)/1232.003102</f>
        <v>0.23865919353017992</v>
      </c>
      <c r="O46" s="856"/>
    </row>
    <row r="47" spans="2:17" ht="27" customHeight="1" x14ac:dyDescent="0.2">
      <c r="B47" s="349" t="s">
        <v>629</v>
      </c>
      <c r="C47" s="350">
        <f t="shared" ref="C47:H47" si="9">+C45+C16-C19+C15</f>
        <v>279.30706575479996</v>
      </c>
      <c r="D47" s="350">
        <f t="shared" si="9"/>
        <v>324.56876742500009</v>
      </c>
      <c r="E47" s="350">
        <f t="shared" si="9"/>
        <v>319.70278441000011</v>
      </c>
      <c r="F47" s="350">
        <f t="shared" si="9"/>
        <v>335.98213149039992</v>
      </c>
      <c r="G47" s="350">
        <f t="shared" si="9"/>
        <v>285.3608052445</v>
      </c>
      <c r="H47" s="350">
        <f t="shared" si="9"/>
        <v>294.20882096560013</v>
      </c>
      <c r="I47" s="350">
        <f>+I45+I16-I19+I15</f>
        <v>283.5107557485</v>
      </c>
      <c r="J47" s="350">
        <f t="shared" ref="J47" si="10">+J45+J16-J19+J15</f>
        <v>332.9042537445689</v>
      </c>
      <c r="K47" s="351">
        <f t="shared" ref="K47:L47" si="11">+K45+K16-K19+K15</f>
        <v>287.08899999999994</v>
      </c>
      <c r="L47" s="352">
        <f t="shared" si="11"/>
        <v>340.11499999999995</v>
      </c>
      <c r="O47" s="856"/>
    </row>
    <row r="48" spans="2:17" ht="27" customHeight="1" x14ac:dyDescent="0.2">
      <c r="B48" s="353" t="s">
        <v>129</v>
      </c>
      <c r="C48" s="354">
        <f>+(C47-52.5/4)/1245.893686</f>
        <v>0.21364749556552451</v>
      </c>
      <c r="D48" s="354">
        <f>+(D47-52.5/4)/1245.212023</f>
        <v>0.25011304233528114</v>
      </c>
      <c r="E48" s="354">
        <f>+(E47-52.5/4)/1246.622609</f>
        <v>0.24592670002666389</v>
      </c>
      <c r="F48" s="354">
        <f>+(F47-52.5/4)/1246.037681</f>
        <v>0.25910703698085025</v>
      </c>
      <c r="G48" s="354">
        <f>+(G47-52.5/4)/1247.481174</f>
        <v>0.218228387665031</v>
      </c>
      <c r="H48" s="354">
        <f>+(H47-52.5/4)/1247.575412</f>
        <v>0.22530407241273856</v>
      </c>
      <c r="I48" s="354">
        <f>+(I47-79.5/4)/1247.988213</f>
        <v>0.21124859433948837</v>
      </c>
      <c r="J48" s="354">
        <f>+(J47-20.4)/1230.028374</f>
        <v>0.25406263818802682</v>
      </c>
      <c r="K48" s="355">
        <f>+(K47-17.98120825)/1229.472312</f>
        <v>0.21888072559538854</v>
      </c>
      <c r="L48" s="356">
        <f>+(L47-17.98120825)/1232.003102</f>
        <v>0.26147157521523834</v>
      </c>
      <c r="O48" s="856"/>
    </row>
    <row r="49" spans="2:13" ht="11.25" customHeight="1" x14ac:dyDescent="0.2">
      <c r="B49" s="250"/>
      <c r="C49" s="250"/>
      <c r="D49" s="250"/>
      <c r="E49" s="250"/>
      <c r="F49" s="250"/>
      <c r="G49" s="250"/>
      <c r="H49" s="250"/>
      <c r="I49" s="250"/>
      <c r="J49" s="250"/>
      <c r="K49" s="250"/>
      <c r="L49" s="250"/>
    </row>
    <row r="50" spans="2:13" ht="19.5" customHeight="1" x14ac:dyDescent="0.2">
      <c r="B50" s="114" t="s">
        <v>239</v>
      </c>
      <c r="C50" s="250"/>
      <c r="D50" s="250"/>
      <c r="E50" s="250"/>
      <c r="F50" s="250"/>
      <c r="G50" s="250"/>
      <c r="H50" s="250"/>
      <c r="I50" s="250"/>
      <c r="J50" s="250"/>
      <c r="K50" s="250"/>
      <c r="L50" s="250"/>
    </row>
    <row r="51" spans="2:13" ht="19.5" customHeight="1" x14ac:dyDescent="0.2">
      <c r="B51" s="311" t="s">
        <v>608</v>
      </c>
      <c r="C51" s="49"/>
      <c r="D51" s="49"/>
      <c r="E51" s="49"/>
      <c r="F51" s="49"/>
      <c r="G51" s="49"/>
      <c r="H51" s="49"/>
      <c r="I51" s="49"/>
      <c r="J51" s="49"/>
      <c r="K51" s="49"/>
      <c r="L51" s="49"/>
    </row>
    <row r="53" spans="2:13" x14ac:dyDescent="0.2">
      <c r="C53" s="1"/>
      <c r="D53" s="1"/>
      <c r="E53" s="1"/>
      <c r="F53" s="1"/>
      <c r="G53" s="1"/>
      <c r="H53" s="1"/>
      <c r="I53" s="1"/>
      <c r="J53" s="1"/>
      <c r="K53" s="1"/>
      <c r="L53" s="1"/>
    </row>
    <row r="54" spans="2:13" x14ac:dyDescent="0.2">
      <c r="C54" s="49"/>
      <c r="D54" s="49"/>
      <c r="E54" s="49"/>
      <c r="F54" s="49"/>
      <c r="G54" s="49"/>
      <c r="H54" s="49"/>
      <c r="I54" s="49"/>
      <c r="J54" s="49"/>
      <c r="K54" s="49"/>
      <c r="L54" s="49"/>
      <c r="M54" s="49"/>
    </row>
  </sheetData>
  <mergeCells count="1">
    <mergeCell ref="B5:L5"/>
  </mergeCells>
  <hyperlinks>
    <hyperlink ref="L2" location="'Cover '!A1" display="Back to Cover" xr:uid="{00000000-0004-0000-0200-000000000000}"/>
  </hyperlinks>
  <printOptions horizontalCentered="1" verticalCentered="1"/>
  <pageMargins left="0" right="0" top="0" bottom="0" header="0" footer="0"/>
  <pageSetup paperSize="8" scale="66" orientation="landscape" r:id="rId1"/>
  <headerFooter alignWithMargins="0"/>
  <ignoredErrors>
    <ignoredError sqref="C47:F47 H47:J47 K47:L47"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C4D89-02BE-4DCE-9264-F2EBBCDAE79D}">
  <sheetPr>
    <pageSetUpPr fitToPage="1"/>
  </sheetPr>
  <dimension ref="A1:T51"/>
  <sheetViews>
    <sheetView showGridLines="0" tabSelected="1" view="pageBreakPreview" zoomScale="80" zoomScaleNormal="90" zoomScaleSheetLayoutView="80" workbookViewId="0">
      <selection activeCell="Q17" sqref="Q17"/>
    </sheetView>
  </sheetViews>
  <sheetFormatPr defaultColWidth="9.140625" defaultRowHeight="15.75" x14ac:dyDescent="0.2"/>
  <cols>
    <col min="1" max="1" width="2.42578125" style="6" customWidth="1"/>
    <col min="2" max="2" width="52.7109375" style="6" customWidth="1"/>
    <col min="3" max="12" width="15.85546875" style="6" customWidth="1"/>
    <col min="13" max="13" width="2.42578125" style="6" customWidth="1"/>
    <col min="14" max="14" width="9.140625" style="6"/>
    <col min="15" max="15" width="12.42578125" style="6" customWidth="1"/>
    <col min="16" max="16384" width="9.140625" style="6"/>
  </cols>
  <sheetData>
    <row r="1" spans="1:20" ht="15.75" customHeight="1" x14ac:dyDescent="0.2"/>
    <row r="2" spans="1:20" ht="15.75" customHeight="1" x14ac:dyDescent="0.2">
      <c r="B2" s="110"/>
      <c r="C2" s="113"/>
      <c r="D2" s="113"/>
      <c r="E2" s="113"/>
      <c r="F2" s="113"/>
      <c r="G2" s="113"/>
      <c r="H2" s="113"/>
      <c r="I2" s="113"/>
      <c r="J2" s="113"/>
      <c r="K2" s="113"/>
      <c r="L2" s="112" t="s">
        <v>18</v>
      </c>
    </row>
    <row r="3" spans="1:20" ht="15.75" customHeight="1" x14ac:dyDescent="0.2">
      <c r="B3" s="110"/>
      <c r="C3" s="110"/>
      <c r="D3" s="110"/>
      <c r="E3" s="110"/>
      <c r="F3" s="110"/>
      <c r="G3" s="110"/>
      <c r="H3" s="110"/>
      <c r="I3" s="110"/>
      <c r="J3" s="110"/>
      <c r="K3" s="110"/>
      <c r="L3" s="110"/>
    </row>
    <row r="4" spans="1:20" ht="15.75" customHeight="1" x14ac:dyDescent="0.2">
      <c r="B4" s="110"/>
      <c r="C4" s="110"/>
      <c r="D4" s="110"/>
      <c r="E4" s="110"/>
      <c r="F4" s="110"/>
      <c r="G4" s="110"/>
      <c r="H4" s="110"/>
      <c r="I4" s="110"/>
      <c r="J4" s="110"/>
      <c r="K4" s="110"/>
      <c r="L4" s="110"/>
    </row>
    <row r="5" spans="1:20" s="17" customFormat="1" ht="28.5" x14ac:dyDescent="0.2">
      <c r="A5" s="16"/>
      <c r="B5" s="1091" t="s">
        <v>107</v>
      </c>
      <c r="C5" s="1102"/>
      <c r="D5" s="1102"/>
      <c r="E5" s="1102"/>
      <c r="F5" s="1102"/>
      <c r="G5" s="1102"/>
      <c r="H5" s="1102"/>
      <c r="I5" s="1102"/>
      <c r="J5" s="1102"/>
      <c r="K5" s="1102"/>
      <c r="L5" s="1102"/>
    </row>
    <row r="6" spans="1:20" s="17" customFormat="1" ht="9" customHeight="1" x14ac:dyDescent="0.2">
      <c r="A6" s="16"/>
      <c r="B6" s="18"/>
    </row>
    <row r="7" spans="1:20" s="17" customFormat="1" ht="15.75" customHeight="1" x14ac:dyDescent="0.2">
      <c r="A7" s="18"/>
      <c r="B7" s="21"/>
    </row>
    <row r="8" spans="1:20" ht="15" customHeight="1" x14ac:dyDescent="0.2">
      <c r="C8" s="697"/>
      <c r="D8" s="697"/>
      <c r="E8" s="697"/>
      <c r="F8" s="697"/>
      <c r="G8" s="697"/>
      <c r="H8" s="697"/>
      <c r="I8" s="697"/>
      <c r="J8" s="697"/>
      <c r="K8" s="697"/>
      <c r="L8" s="697"/>
    </row>
    <row r="9" spans="1:20" s="7" customFormat="1" ht="33.75" customHeight="1" x14ac:dyDescent="0.2">
      <c r="B9" s="325" t="s">
        <v>0</v>
      </c>
      <c r="C9" s="326" t="s">
        <v>256</v>
      </c>
      <c r="D9" s="326" t="s">
        <v>336</v>
      </c>
      <c r="E9" s="326" t="s">
        <v>371</v>
      </c>
      <c r="F9" s="326" t="s">
        <v>388</v>
      </c>
      <c r="G9" s="326" t="s">
        <v>413</v>
      </c>
      <c r="H9" s="326" t="s">
        <v>420</v>
      </c>
      <c r="I9" s="326" t="s">
        <v>460</v>
      </c>
      <c r="J9" s="326" t="s">
        <v>512</v>
      </c>
      <c r="K9" s="327" t="s">
        <v>645</v>
      </c>
      <c r="L9" s="328" t="s">
        <v>665</v>
      </c>
    </row>
    <row r="10" spans="1:20" s="9" customFormat="1" ht="24.75" customHeight="1" x14ac:dyDescent="0.3">
      <c r="B10" s="141" t="s">
        <v>198</v>
      </c>
      <c r="C10" s="385">
        <v>502.97947991000001</v>
      </c>
      <c r="D10" s="387">
        <v>516.82432579000022</v>
      </c>
      <c r="E10" s="387">
        <v>522.33644699999979</v>
      </c>
      <c r="F10" s="387">
        <v>506.60793783999998</v>
      </c>
      <c r="G10" s="387">
        <v>468.33464606999991</v>
      </c>
      <c r="H10" s="387">
        <v>452.43089954999988</v>
      </c>
      <c r="I10" s="387">
        <v>437.39316805999977</v>
      </c>
      <c r="J10" s="387">
        <v>440.88245714999988</v>
      </c>
      <c r="K10" s="967">
        <v>440.27507662999994</v>
      </c>
      <c r="L10" s="388">
        <v>459.89292698000014</v>
      </c>
      <c r="O10" s="40"/>
      <c r="P10" s="942"/>
      <c r="Q10" s="943"/>
      <c r="R10" s="944"/>
      <c r="S10" s="945"/>
      <c r="T10" s="944"/>
    </row>
    <row r="11" spans="1:20" s="9" customFormat="1" ht="24.75" customHeight="1" x14ac:dyDescent="0.3">
      <c r="B11" s="141" t="s">
        <v>199</v>
      </c>
      <c r="C11" s="385">
        <v>88.541939920000004</v>
      </c>
      <c r="D11" s="387">
        <v>106.30362873000001</v>
      </c>
      <c r="E11" s="387">
        <v>111.7758449</v>
      </c>
      <c r="F11" s="387">
        <v>118.34205895000002</v>
      </c>
      <c r="G11" s="387">
        <v>122.01473585000002</v>
      </c>
      <c r="H11" s="387">
        <v>126.37704643999999</v>
      </c>
      <c r="I11" s="387">
        <v>129.91090534999995</v>
      </c>
      <c r="J11" s="387">
        <v>134.5397249000001</v>
      </c>
      <c r="K11" s="967">
        <v>143.36469219</v>
      </c>
      <c r="L11" s="388">
        <v>162.5397153598951</v>
      </c>
      <c r="N11" s="40"/>
      <c r="O11" s="40"/>
      <c r="P11" s="942"/>
      <c r="Q11" s="943"/>
      <c r="R11" s="944"/>
      <c r="S11" s="945"/>
      <c r="T11" s="944"/>
    </row>
    <row r="12" spans="1:20" s="9" customFormat="1" ht="24.75" customHeight="1" x14ac:dyDescent="0.3">
      <c r="B12" s="141" t="s">
        <v>200</v>
      </c>
      <c r="C12" s="385">
        <v>70.264778890000002</v>
      </c>
      <c r="D12" s="387">
        <v>63.447242189999997</v>
      </c>
      <c r="E12" s="387">
        <v>50.081623330000014</v>
      </c>
      <c r="F12" s="387">
        <v>44.391571049999953</v>
      </c>
      <c r="G12" s="387">
        <v>44.933600640000002</v>
      </c>
      <c r="H12" s="387">
        <v>39.562176659999999</v>
      </c>
      <c r="I12" s="387">
        <v>41.433475319999992</v>
      </c>
      <c r="J12" s="387">
        <v>38.774646490000002</v>
      </c>
      <c r="K12" s="967">
        <v>36.721637819999998</v>
      </c>
      <c r="L12" s="388">
        <v>36.174955100000005</v>
      </c>
      <c r="N12" s="40"/>
      <c r="O12" s="40"/>
      <c r="P12" s="942"/>
      <c r="Q12" s="943"/>
      <c r="R12" s="944"/>
      <c r="S12" s="945"/>
      <c r="T12" s="944"/>
    </row>
    <row r="13" spans="1:20" s="9" customFormat="1" ht="24.75" customHeight="1" x14ac:dyDescent="0.3">
      <c r="B13" s="141" t="s">
        <v>201</v>
      </c>
      <c r="C13" s="385">
        <v>119.0223414299998</v>
      </c>
      <c r="D13" s="387">
        <v>114.18100776000004</v>
      </c>
      <c r="E13" s="387">
        <v>93.21856692000064</v>
      </c>
      <c r="F13" s="387">
        <v>79.831227029999738</v>
      </c>
      <c r="G13" s="387">
        <v>56.731240330000205</v>
      </c>
      <c r="H13" s="387">
        <v>39.99191153000028</v>
      </c>
      <c r="I13" s="387">
        <v>44.963460179999828</v>
      </c>
      <c r="J13" s="387">
        <v>51.383599419999555</v>
      </c>
      <c r="K13" s="967">
        <v>48.952445630000007</v>
      </c>
      <c r="L13" s="388">
        <v>44.02460668010503</v>
      </c>
      <c r="N13" s="40"/>
      <c r="O13" s="40"/>
      <c r="P13" s="942"/>
      <c r="Q13" s="943"/>
      <c r="R13" s="944"/>
      <c r="S13" s="945"/>
      <c r="T13" s="944"/>
    </row>
    <row r="14" spans="1:20" s="9" customFormat="1" ht="24.75" customHeight="1" x14ac:dyDescent="0.3">
      <c r="B14" s="358" t="s">
        <v>202</v>
      </c>
      <c r="C14" s="359">
        <f t="shared" ref="C14:I14" si="0">C10+C11+C13+C12</f>
        <v>780.80854014999977</v>
      </c>
      <c r="D14" s="359">
        <f t="shared" si="0"/>
        <v>800.75620447000028</v>
      </c>
      <c r="E14" s="359">
        <f t="shared" si="0"/>
        <v>777.41248215000041</v>
      </c>
      <c r="F14" s="359">
        <f t="shared" si="0"/>
        <v>749.17279486999962</v>
      </c>
      <c r="G14" s="359">
        <f t="shared" si="0"/>
        <v>692.01422289000016</v>
      </c>
      <c r="H14" s="359">
        <f t="shared" si="0"/>
        <v>658.36203418000014</v>
      </c>
      <c r="I14" s="359">
        <f t="shared" si="0"/>
        <v>653.70100890999959</v>
      </c>
      <c r="J14" s="359">
        <f>J10+J11+J13+J12</f>
        <v>665.5804279599995</v>
      </c>
      <c r="K14" s="360">
        <f>K10+K11+K13+K12</f>
        <v>669.31385226999998</v>
      </c>
      <c r="L14" s="361">
        <f>L10+L11+L13+L12</f>
        <v>702.63220412000032</v>
      </c>
      <c r="O14" s="40"/>
      <c r="P14" s="942"/>
      <c r="Q14" s="943"/>
      <c r="R14" s="944"/>
      <c r="S14" s="945"/>
      <c r="T14" s="944"/>
    </row>
    <row r="15" spans="1:20" s="9" customFormat="1" ht="17.25" customHeight="1" x14ac:dyDescent="0.3">
      <c r="B15" s="141"/>
      <c r="C15" s="386"/>
      <c r="D15" s="389"/>
      <c r="E15" s="389"/>
      <c r="F15" s="389"/>
      <c r="G15" s="389"/>
      <c r="H15" s="389"/>
      <c r="I15" s="389"/>
      <c r="J15" s="389"/>
      <c r="K15" s="974"/>
      <c r="L15" s="390"/>
      <c r="P15" s="942"/>
      <c r="Q15" s="943"/>
      <c r="R15" s="944"/>
      <c r="S15" s="945"/>
      <c r="T15" s="944"/>
    </row>
    <row r="16" spans="1:20" s="9" customFormat="1" ht="24.75" customHeight="1" x14ac:dyDescent="0.3">
      <c r="B16" s="141" t="s">
        <v>203</v>
      </c>
      <c r="C16" s="385">
        <v>78.356409669999991</v>
      </c>
      <c r="D16" s="387">
        <v>80.442876220000002</v>
      </c>
      <c r="E16" s="387">
        <v>83.960834339999977</v>
      </c>
      <c r="F16" s="387">
        <v>85.223943320000018</v>
      </c>
      <c r="G16" s="387">
        <v>79.454660869999998</v>
      </c>
      <c r="H16" s="387">
        <v>67.691612049999989</v>
      </c>
      <c r="I16" s="387">
        <v>62.771050900000006</v>
      </c>
      <c r="J16" s="387">
        <v>63.36341494000002</v>
      </c>
      <c r="K16" s="967">
        <v>61.246656519999995</v>
      </c>
      <c r="L16" s="388">
        <v>62.578867270000011</v>
      </c>
      <c r="O16" s="40"/>
      <c r="P16" s="942"/>
      <c r="Q16" s="943"/>
      <c r="R16" s="944"/>
      <c r="S16" s="945"/>
      <c r="T16" s="944"/>
    </row>
    <row r="17" spans="2:20" s="9" customFormat="1" ht="24.75" customHeight="1" x14ac:dyDescent="0.3">
      <c r="B17" s="141" t="s">
        <v>204</v>
      </c>
      <c r="C17" s="385">
        <v>75.349431469999999</v>
      </c>
      <c r="D17" s="387">
        <v>74.853258679999996</v>
      </c>
      <c r="E17" s="387">
        <v>44.902288939999991</v>
      </c>
      <c r="F17" s="387">
        <v>38.968236330000011</v>
      </c>
      <c r="G17" s="387">
        <v>27.055253610000001</v>
      </c>
      <c r="H17" s="387">
        <v>21.65973322</v>
      </c>
      <c r="I17" s="387">
        <v>21.889631810000004</v>
      </c>
      <c r="J17" s="387">
        <v>24.940873379999999</v>
      </c>
      <c r="K17" s="967">
        <v>27.686347230000003</v>
      </c>
      <c r="L17" s="388">
        <v>30.30129651</v>
      </c>
      <c r="O17" s="40"/>
      <c r="P17" s="942"/>
      <c r="Q17" s="943"/>
      <c r="R17" s="944"/>
      <c r="S17" s="945"/>
      <c r="T17" s="944"/>
    </row>
    <row r="18" spans="2:20" s="9" customFormat="1" ht="24.75" customHeight="1" x14ac:dyDescent="0.3">
      <c r="B18" s="141" t="s">
        <v>205</v>
      </c>
      <c r="C18" s="385">
        <v>48.508272179999999</v>
      </c>
      <c r="D18" s="387">
        <v>54.31663463000001</v>
      </c>
      <c r="E18" s="387">
        <v>60.259388629999997</v>
      </c>
      <c r="F18" s="387">
        <v>65.276742829999989</v>
      </c>
      <c r="G18" s="387">
        <v>64.287361050000015</v>
      </c>
      <c r="H18" s="387">
        <v>64.912942420000007</v>
      </c>
      <c r="I18" s="387">
        <v>68.200284110000013</v>
      </c>
      <c r="J18" s="387">
        <v>69.856048129999976</v>
      </c>
      <c r="K18" s="967">
        <v>66.893014859999994</v>
      </c>
      <c r="L18" s="388">
        <v>65.364205679999998</v>
      </c>
      <c r="O18" s="40"/>
      <c r="P18" s="942"/>
      <c r="Q18" s="943"/>
      <c r="R18" s="944"/>
      <c r="S18" s="945"/>
      <c r="T18" s="944"/>
    </row>
    <row r="19" spans="2:20" s="9" customFormat="1" ht="24.75" customHeight="1" x14ac:dyDescent="0.3">
      <c r="B19" s="141" t="s">
        <v>206</v>
      </c>
      <c r="C19" s="385">
        <v>26.385850989999994</v>
      </c>
      <c r="D19" s="387">
        <v>28.732993320000006</v>
      </c>
      <c r="E19" s="387">
        <v>27.719322949999984</v>
      </c>
      <c r="F19" s="387">
        <v>25.658709730000012</v>
      </c>
      <c r="G19" s="387">
        <v>28.106815510000001</v>
      </c>
      <c r="H19" s="387">
        <v>28.194147700000059</v>
      </c>
      <c r="I19" s="387">
        <v>31.158057820000185</v>
      </c>
      <c r="J19" s="387">
        <v>32.323072670000087</v>
      </c>
      <c r="K19" s="967">
        <v>31.948202639999899</v>
      </c>
      <c r="L19" s="388">
        <v>32.022156060000128</v>
      </c>
      <c r="O19" s="40"/>
      <c r="P19" s="942"/>
      <c r="Q19" s="943"/>
      <c r="R19" s="944"/>
      <c r="S19" s="945"/>
      <c r="T19" s="944"/>
    </row>
    <row r="20" spans="2:20" s="9" customFormat="1" ht="24.75" customHeight="1" x14ac:dyDescent="0.3">
      <c r="B20" s="141" t="s">
        <v>497</v>
      </c>
      <c r="C20" s="385">
        <v>21.436</v>
      </c>
      <c r="D20" s="387">
        <v>22.091000000000001</v>
      </c>
      <c r="E20" s="387">
        <v>18.28</v>
      </c>
      <c r="F20" s="387">
        <v>7.71</v>
      </c>
      <c r="G20" s="387">
        <v>-0.81499999999999995</v>
      </c>
      <c r="H20" s="387">
        <v>-10.716147510000061</v>
      </c>
      <c r="I20" s="387">
        <v>-14.584107230000182</v>
      </c>
      <c r="J20" s="387">
        <v>-14.971562420000074</v>
      </c>
      <c r="K20" s="967">
        <v>-13.2368199099999</v>
      </c>
      <c r="L20" s="388">
        <v>-9.9045192500001225</v>
      </c>
      <c r="O20" s="40"/>
      <c r="P20" s="942"/>
      <c r="Q20" s="943"/>
      <c r="R20" s="944"/>
      <c r="S20" s="945"/>
      <c r="T20" s="944"/>
    </row>
    <row r="21" spans="2:20" ht="24.75" customHeight="1" x14ac:dyDescent="0.2">
      <c r="B21" s="141" t="s">
        <v>207</v>
      </c>
      <c r="C21" s="385">
        <v>13.143638280000051</v>
      </c>
      <c r="D21" s="387">
        <v>12.761573479999914</v>
      </c>
      <c r="E21" s="387">
        <v>12.785316060000039</v>
      </c>
      <c r="F21" s="387">
        <v>12.820602309999973</v>
      </c>
      <c r="G21" s="387">
        <v>12.972413059999976</v>
      </c>
      <c r="H21" s="387">
        <v>13.054289910000016</v>
      </c>
      <c r="I21" s="387">
        <v>13.035290459999981</v>
      </c>
      <c r="J21" s="387">
        <v>13.217580560000012</v>
      </c>
      <c r="K21" s="967">
        <v>13.479421229999994</v>
      </c>
      <c r="L21" s="388">
        <v>13.586891969999973</v>
      </c>
      <c r="O21" s="40"/>
    </row>
    <row r="22" spans="2:20" s="9" customFormat="1" ht="24.75" customHeight="1" x14ac:dyDescent="0.2">
      <c r="B22" s="358" t="s">
        <v>208</v>
      </c>
      <c r="C22" s="359">
        <f t="shared" ref="C22:H22" si="1">SUM(C16:C21)</f>
        <v>263.17960259000006</v>
      </c>
      <c r="D22" s="359">
        <f t="shared" si="1"/>
        <v>273.19833632999996</v>
      </c>
      <c r="E22" s="359">
        <f t="shared" si="1"/>
        <v>247.90715091999999</v>
      </c>
      <c r="F22" s="359">
        <f t="shared" si="1"/>
        <v>235.65823451999998</v>
      </c>
      <c r="G22" s="359">
        <f t="shared" si="1"/>
        <v>211.06150409999998</v>
      </c>
      <c r="H22" s="359">
        <f t="shared" si="1"/>
        <v>184.79657779000001</v>
      </c>
      <c r="I22" s="359">
        <f>SUM(I16:I21)</f>
        <v>182.47020787</v>
      </c>
      <c r="J22" s="359">
        <f>SUM(J16:J21)</f>
        <v>188.72942726000002</v>
      </c>
      <c r="K22" s="360">
        <f>SUM(K16:K21)</f>
        <v>188.01682256999999</v>
      </c>
      <c r="L22" s="361">
        <f>SUM(L16:L21)</f>
        <v>193.94889823999998</v>
      </c>
    </row>
    <row r="23" spans="2:20" s="9" customFormat="1" ht="11.25" customHeight="1" x14ac:dyDescent="0.35">
      <c r="B23" s="394"/>
      <c r="C23" s="391"/>
      <c r="D23" s="391"/>
      <c r="E23" s="391"/>
      <c r="F23" s="391"/>
      <c r="G23" s="391"/>
      <c r="H23" s="391"/>
      <c r="I23" s="391"/>
      <c r="J23" s="391"/>
      <c r="K23" s="395"/>
      <c r="L23" s="396"/>
    </row>
    <row r="24" spans="2:20" s="9" customFormat="1" ht="24" customHeight="1" x14ac:dyDescent="0.2">
      <c r="B24" s="397" t="s">
        <v>1</v>
      </c>
      <c r="C24" s="398">
        <f t="shared" ref="C24:H24" si="2">C14-C22</f>
        <v>517.62893755999971</v>
      </c>
      <c r="D24" s="398">
        <f t="shared" si="2"/>
        <v>527.55786814000032</v>
      </c>
      <c r="E24" s="398">
        <f t="shared" si="2"/>
        <v>529.50533123000037</v>
      </c>
      <c r="F24" s="398">
        <f t="shared" si="2"/>
        <v>513.51456034999967</v>
      </c>
      <c r="G24" s="398">
        <f t="shared" si="2"/>
        <v>480.95271879000018</v>
      </c>
      <c r="H24" s="398">
        <f t="shared" si="2"/>
        <v>473.56545639000012</v>
      </c>
      <c r="I24" s="398">
        <f>I14-I22</f>
        <v>471.23080103999962</v>
      </c>
      <c r="J24" s="398">
        <f>J14-J22</f>
        <v>476.85100069999947</v>
      </c>
      <c r="K24" s="399">
        <f>K14-K22</f>
        <v>481.2970297</v>
      </c>
      <c r="L24" s="400">
        <f>L14-L22</f>
        <v>508.68330588000038</v>
      </c>
    </row>
    <row r="25" spans="2:20" s="9" customFormat="1" ht="12.75" customHeight="1" x14ac:dyDescent="0.2">
      <c r="B25" s="401"/>
      <c r="C25" s="402"/>
      <c r="D25" s="402"/>
      <c r="E25" s="402"/>
      <c r="F25" s="402"/>
      <c r="G25" s="402"/>
      <c r="H25" s="402"/>
      <c r="I25" s="402"/>
      <c r="J25" s="402"/>
      <c r="K25" s="403"/>
      <c r="L25" s="404"/>
    </row>
    <row r="26" spans="2:20" s="9" customFormat="1" ht="23.25" customHeight="1" x14ac:dyDescent="0.2">
      <c r="B26" s="636" t="s">
        <v>316</v>
      </c>
      <c r="C26" s="637">
        <v>3.9231692307692301E-2</v>
      </c>
      <c r="D26" s="637">
        <v>3.8104307692307701E-2</v>
      </c>
      <c r="E26" s="637">
        <v>3.5634923076923099E-2</v>
      </c>
      <c r="F26" s="637">
        <v>2.9984242424242403E-2</v>
      </c>
      <c r="G26" s="637">
        <v>2.56246875E-2</v>
      </c>
      <c r="H26" s="637">
        <v>2.1052698412698401E-2</v>
      </c>
      <c r="I26" s="637">
        <v>2.0109848484848501E-2</v>
      </c>
      <c r="J26" s="637">
        <v>2.0416507936507899E-2</v>
      </c>
      <c r="K26" s="638">
        <v>2.0508281249999996E-2</v>
      </c>
      <c r="L26" s="639">
        <v>2.0508281249999996E-2</v>
      </c>
      <c r="N26" s="801"/>
      <c r="O26" s="801"/>
    </row>
    <row r="27" spans="2:20" s="9" customFormat="1" ht="23.25" customHeight="1" x14ac:dyDescent="0.2">
      <c r="B27" s="641" t="s">
        <v>508</v>
      </c>
      <c r="C27" s="642">
        <v>6.5312671941050129E-2</v>
      </c>
      <c r="D27" s="642">
        <v>6.591987949724773E-2</v>
      </c>
      <c r="E27" s="642">
        <v>6.3971184781618229E-2</v>
      </c>
      <c r="F27" s="642">
        <v>5.9481827059117559E-2</v>
      </c>
      <c r="G27" s="642">
        <v>5.44247358578753E-2</v>
      </c>
      <c r="H27" s="642">
        <v>5.0287137061545223E-2</v>
      </c>
      <c r="I27" s="642">
        <v>4.7147389231821386E-2</v>
      </c>
      <c r="J27" s="642">
        <v>4.6221947098682291E-2</v>
      </c>
      <c r="K27" s="643">
        <v>4.6809944582930495E-2</v>
      </c>
      <c r="L27" s="644">
        <v>4.7E-2</v>
      </c>
      <c r="N27" s="801"/>
      <c r="O27" s="801"/>
    </row>
    <row r="28" spans="2:20" s="9" customFormat="1" ht="23.25" customHeight="1" x14ac:dyDescent="0.2">
      <c r="B28" s="635" t="s">
        <v>359</v>
      </c>
      <c r="C28" s="650">
        <v>6.645371867807888E-2</v>
      </c>
      <c r="D28" s="650">
        <v>6.5704161336757688E-2</v>
      </c>
      <c r="E28" s="650">
        <v>6.3939296024634079E-2</v>
      </c>
      <c r="F28" s="650">
        <v>5.9006693162056527E-2</v>
      </c>
      <c r="G28" s="650">
        <v>5.4485057013872948E-2</v>
      </c>
      <c r="H28" s="650">
        <v>4.9051366313959073E-2</v>
      </c>
      <c r="I28" s="650">
        <v>4.533199063591177E-2</v>
      </c>
      <c r="J28" s="650">
        <v>4.4704054277156721E-2</v>
      </c>
      <c r="K28" s="651">
        <v>4.5089045674207191E-2</v>
      </c>
      <c r="L28" s="652">
        <v>4.5199999999999997E-2</v>
      </c>
      <c r="N28" s="801"/>
      <c r="O28" s="801"/>
    </row>
    <row r="29" spans="2:20" s="9" customFormat="1" ht="23.25" customHeight="1" x14ac:dyDescent="0.2">
      <c r="B29" s="635" t="s">
        <v>360</v>
      </c>
      <c r="C29" s="650">
        <v>5.0936336436381728E-2</v>
      </c>
      <c r="D29" s="650">
        <v>5.1400000000000001E-2</v>
      </c>
      <c r="E29" s="650">
        <v>5.0799999999999998E-2</v>
      </c>
      <c r="F29" s="650">
        <v>4.8053290381584221E-2</v>
      </c>
      <c r="G29" s="650">
        <v>4.2822764808447981E-2</v>
      </c>
      <c r="H29" s="650">
        <v>3.8582213214172531E-2</v>
      </c>
      <c r="I29" s="650">
        <v>3.6197724241570424E-2</v>
      </c>
      <c r="J29" s="650">
        <v>3.56E-2</v>
      </c>
      <c r="K29" s="651">
        <v>3.524682578976638E-2</v>
      </c>
      <c r="L29" s="652">
        <v>3.5200000000000002E-2</v>
      </c>
      <c r="N29" s="801"/>
      <c r="O29" s="801"/>
    </row>
    <row r="30" spans="2:20" s="9" customFormat="1" ht="23.25" customHeight="1" x14ac:dyDescent="0.2">
      <c r="B30" s="645" t="s">
        <v>361</v>
      </c>
      <c r="C30" s="653">
        <v>8.4179658441651414E-2</v>
      </c>
      <c r="D30" s="653">
        <v>8.4980428741874267E-2</v>
      </c>
      <c r="E30" s="653">
        <v>8.2999116404862155E-2</v>
      </c>
      <c r="F30" s="653">
        <v>8.0871049097841458E-2</v>
      </c>
      <c r="G30" s="653">
        <v>7.813440483964823E-2</v>
      </c>
      <c r="H30" s="653">
        <v>7.5494838019026358E-2</v>
      </c>
      <c r="I30" s="653">
        <v>7.4582518190706382E-2</v>
      </c>
      <c r="J30" s="653">
        <v>7.4739776570067251E-2</v>
      </c>
      <c r="K30" s="654">
        <v>7.397381239563805E-2</v>
      </c>
      <c r="L30" s="655">
        <v>7.4800000000000005E-2</v>
      </c>
      <c r="N30" s="801"/>
      <c r="O30" s="801"/>
    </row>
    <row r="31" spans="2:20" s="9" customFormat="1" ht="23.25" customHeight="1" x14ac:dyDescent="0.2">
      <c r="B31" s="641" t="s">
        <v>377</v>
      </c>
      <c r="C31" s="642">
        <v>2.5893817650140719E-2</v>
      </c>
      <c r="D31" s="642">
        <v>2.6866913594297603E-2</v>
      </c>
      <c r="E31" s="642">
        <v>2.6106057315995437E-2</v>
      </c>
      <c r="F31" s="642">
        <v>2.4844613548467308E-2</v>
      </c>
      <c r="G31" s="642">
        <v>2.4501556222026679E-2</v>
      </c>
      <c r="H31" s="642">
        <v>2.4370688071904362E-2</v>
      </c>
      <c r="I31" s="642">
        <v>2.4058766057952187E-2</v>
      </c>
      <c r="J31" s="642">
        <v>2.3823678393967214E-2</v>
      </c>
      <c r="K31" s="643">
        <v>2.3694826864108197E-2</v>
      </c>
      <c r="L31" s="644">
        <v>2.3298304958668005E-2</v>
      </c>
      <c r="O31" s="801"/>
      <c r="P31" s="801"/>
      <c r="Q31" s="647"/>
      <c r="R31" s="647"/>
      <c r="S31" s="801"/>
    </row>
    <row r="32" spans="2:20" s="9" customFormat="1" ht="23.25" customHeight="1" x14ac:dyDescent="0.2">
      <c r="B32" s="635" t="s">
        <v>359</v>
      </c>
      <c r="C32" s="650">
        <v>2.4487256057612827E-2</v>
      </c>
      <c r="D32" s="650">
        <v>2.4078191050229649E-2</v>
      </c>
      <c r="E32" s="650">
        <v>2.3726223789355651E-2</v>
      </c>
      <c r="F32" s="650">
        <v>2.2877279229359341E-2</v>
      </c>
      <c r="G32" s="650">
        <v>2.2712177971919392E-2</v>
      </c>
      <c r="H32" s="650">
        <v>2.2069790337264441E-2</v>
      </c>
      <c r="I32" s="650">
        <v>2.1473600493324297E-2</v>
      </c>
      <c r="J32" s="650">
        <v>2.1209092134063006E-2</v>
      </c>
      <c r="K32" s="651">
        <v>2.1342450067493076E-2</v>
      </c>
      <c r="L32" s="652">
        <v>2.0948139554866258E-2</v>
      </c>
      <c r="O32" s="801"/>
      <c r="P32" s="801"/>
      <c r="Q32" s="936"/>
      <c r="R32" s="936"/>
      <c r="S32" s="801"/>
    </row>
    <row r="33" spans="2:19" s="9" customFormat="1" ht="23.25" customHeight="1" x14ac:dyDescent="0.2">
      <c r="B33" s="635" t="s">
        <v>360</v>
      </c>
      <c r="C33" s="650">
        <v>1.9819356994104944E-2</v>
      </c>
      <c r="D33" s="650">
        <v>2.5157836599761056E-2</v>
      </c>
      <c r="E33" s="650">
        <v>2.2972658759469692E-2</v>
      </c>
      <c r="F33" s="650">
        <v>1.9167215717352446E-2</v>
      </c>
      <c r="G33" s="650">
        <v>1.8289519864147497E-2</v>
      </c>
      <c r="H33" s="650">
        <v>1.8393868033348484E-2</v>
      </c>
      <c r="I33" s="650">
        <v>1.8216854607237629E-2</v>
      </c>
      <c r="J33" s="650">
        <v>1.7981585918562817E-2</v>
      </c>
      <c r="K33" s="651">
        <v>1.7762762798054332E-2</v>
      </c>
      <c r="L33" s="652">
        <v>1.7588277725225167E-2</v>
      </c>
      <c r="P33" s="801"/>
      <c r="Q33" s="936"/>
      <c r="R33" s="936"/>
      <c r="S33" s="801"/>
    </row>
    <row r="34" spans="2:19" s="9" customFormat="1" ht="23.25" customHeight="1" x14ac:dyDescent="0.2">
      <c r="B34" s="645" t="s">
        <v>361</v>
      </c>
      <c r="C34" s="653">
        <v>4.5907701885376948E-2</v>
      </c>
      <c r="D34" s="653">
        <v>4.7192151774700569E-2</v>
      </c>
      <c r="E34" s="653">
        <v>4.7215065382410847E-2</v>
      </c>
      <c r="F34" s="653">
        <v>4.8587221750214508E-2</v>
      </c>
      <c r="G34" s="653">
        <v>4.7954596443459528E-2</v>
      </c>
      <c r="H34" s="653">
        <v>5.1529483056730871E-2</v>
      </c>
      <c r="I34" s="653">
        <v>5.3046971309732877E-2</v>
      </c>
      <c r="J34" s="653">
        <v>5.3789351824461762E-2</v>
      </c>
      <c r="K34" s="654">
        <v>5.1969139498808596E-2</v>
      </c>
      <c r="L34" s="655">
        <v>5.17242419820945E-2</v>
      </c>
      <c r="P34" s="801"/>
      <c r="Q34" s="936"/>
      <c r="R34" s="936"/>
      <c r="S34" s="801"/>
    </row>
    <row r="35" spans="2:19" s="9" customFormat="1" ht="23.25" customHeight="1" x14ac:dyDescent="0.2">
      <c r="B35" s="646" t="s">
        <v>317</v>
      </c>
      <c r="C35" s="647">
        <v>2.5938008531260312E-2</v>
      </c>
      <c r="D35" s="647">
        <v>2.9281246333657196E-2</v>
      </c>
      <c r="E35" s="647">
        <v>2.9574718018028939E-2</v>
      </c>
      <c r="F35" s="647">
        <v>2.954298456052815E-2</v>
      </c>
      <c r="G35" s="647">
        <v>2.9815579338572828E-2</v>
      </c>
      <c r="H35" s="647">
        <v>2.9717645994255405E-2</v>
      </c>
      <c r="I35" s="647">
        <v>2.9854216101776698E-2</v>
      </c>
      <c r="J35" s="647">
        <v>3.0303619596018853E-2</v>
      </c>
      <c r="K35" s="648">
        <v>3.1063236652846375E-2</v>
      </c>
      <c r="L35" s="649">
        <v>3.2028666707442442E-2</v>
      </c>
      <c r="O35" s="801"/>
    </row>
    <row r="36" spans="2:19" s="9" customFormat="1" ht="23.25" customHeight="1" x14ac:dyDescent="0.2">
      <c r="B36" s="641" t="s">
        <v>319</v>
      </c>
      <c r="C36" s="642">
        <v>5.3272728018339145E-3</v>
      </c>
      <c r="D36" s="642">
        <v>5.3724921473707991E-3</v>
      </c>
      <c r="E36" s="642">
        <v>5.472896783695412E-3</v>
      </c>
      <c r="F36" s="642">
        <v>5.4274043943437107E-3</v>
      </c>
      <c r="G36" s="642">
        <v>5.1853113068753062E-3</v>
      </c>
      <c r="H36" s="642">
        <v>4.3218026275067467E-3</v>
      </c>
      <c r="I36" s="642">
        <v>3.8760377275509905E-3</v>
      </c>
      <c r="J36" s="642">
        <v>3.8089841363702862E-3</v>
      </c>
      <c r="K36" s="643">
        <v>3.7850547606083397E-3</v>
      </c>
      <c r="L36" s="644">
        <v>3.7656948909277335E-3</v>
      </c>
      <c r="O36" s="801"/>
    </row>
    <row r="37" spans="2:19" s="9" customFormat="1" ht="23.25" customHeight="1" x14ac:dyDescent="0.2">
      <c r="B37" s="635" t="s">
        <v>379</v>
      </c>
      <c r="C37" s="650">
        <v>6.9999999999999999E-4</v>
      </c>
      <c r="D37" s="650">
        <v>6.9999999999999999E-4</v>
      </c>
      <c r="E37" s="650">
        <v>6.8951896105703004E-4</v>
      </c>
      <c r="F37" s="650">
        <v>7.8879677959455008E-4</v>
      </c>
      <c r="G37" s="650">
        <v>7.778514853293663E-4</v>
      </c>
      <c r="H37" s="650">
        <v>6.5614280080217031E-4</v>
      </c>
      <c r="I37" s="650">
        <v>7.1427628736237295E-4</v>
      </c>
      <c r="J37" s="650">
        <v>7.0879565432309117E-4</v>
      </c>
      <c r="K37" s="651">
        <v>7.1970040101976989E-4</v>
      </c>
      <c r="L37" s="652">
        <v>7.0790628272772698E-4</v>
      </c>
      <c r="O37" s="801"/>
    </row>
    <row r="38" spans="2:19" s="9" customFormat="1" ht="23.25" customHeight="1" x14ac:dyDescent="0.2">
      <c r="B38" s="645" t="s">
        <v>378</v>
      </c>
      <c r="C38" s="653">
        <v>2.07E-2</v>
      </c>
      <c r="D38" s="653">
        <v>2.1299999999999999E-2</v>
      </c>
      <c r="E38" s="653">
        <v>2.2170208772049633E-2</v>
      </c>
      <c r="F38" s="653">
        <v>2.1600878721983151E-2</v>
      </c>
      <c r="G38" s="653">
        <v>2.0189296062793967E-2</v>
      </c>
      <c r="H38" s="653">
        <v>1.7983528778088981E-2</v>
      </c>
      <c r="I38" s="653">
        <v>1.6151509260544518E-2</v>
      </c>
      <c r="J38" s="653">
        <v>1.5766565209315291E-2</v>
      </c>
      <c r="K38" s="654">
        <v>1.5625828960363856E-2</v>
      </c>
      <c r="L38" s="655">
        <v>1.5753696896673643E-2</v>
      </c>
      <c r="O38" s="801"/>
    </row>
    <row r="39" spans="2:19" s="9" customFormat="1" ht="23.25" customHeight="1" x14ac:dyDescent="0.2">
      <c r="B39" s="870" t="s">
        <v>618</v>
      </c>
      <c r="C39" s="871">
        <v>6.7920015906310048E-3</v>
      </c>
      <c r="D39" s="871">
        <v>6.8478710697129708E-3</v>
      </c>
      <c r="E39" s="871">
        <v>6.6644589447004002E-3</v>
      </c>
      <c r="F39" s="871">
        <v>5.9184082865629288E-3</v>
      </c>
      <c r="G39" s="871">
        <v>5.1321233797124452E-3</v>
      </c>
      <c r="H39" s="871">
        <v>3.6376251782939953E-3</v>
      </c>
      <c r="I39" s="871">
        <v>2.9754864537450926E-3</v>
      </c>
      <c r="J39" s="871">
        <v>2.9089940741481475E-3</v>
      </c>
      <c r="K39" s="872">
        <v>2.9670168290308074E-3</v>
      </c>
      <c r="L39" s="903">
        <v>3.169688616542818E-3</v>
      </c>
      <c r="O39" s="801"/>
    </row>
    <row r="40" spans="2:19" s="9" customFormat="1" ht="23.25" customHeight="1" x14ac:dyDescent="0.2">
      <c r="B40" s="877" t="s">
        <v>318</v>
      </c>
      <c r="C40" s="640">
        <v>6.6074006964766188E-2</v>
      </c>
      <c r="D40" s="640">
        <v>6.2635491338182345E-2</v>
      </c>
      <c r="E40" s="640">
        <v>5.7548699279133135E-2</v>
      </c>
      <c r="F40" s="640">
        <v>5.8657740285411222E-2</v>
      </c>
      <c r="G40" s="640">
        <v>5.8396672980830677E-2</v>
      </c>
      <c r="H40" s="640">
        <v>5.6961365731792814E-2</v>
      </c>
      <c r="I40" s="640">
        <v>5.5492006457127263E-2</v>
      </c>
      <c r="J40" s="640">
        <v>5.2946566827532127E-2</v>
      </c>
      <c r="K40" s="868">
        <v>5.1065187465133222E-2</v>
      </c>
      <c r="L40" s="869">
        <v>4.8831534110412363E-2</v>
      </c>
      <c r="O40" s="801"/>
    </row>
    <row r="41" spans="2:19" s="9" customFormat="1" ht="11.25" customHeight="1" x14ac:dyDescent="0.35">
      <c r="B41" s="321"/>
      <c r="C41" s="411"/>
      <c r="D41" s="411"/>
      <c r="E41" s="411"/>
      <c r="F41" s="411"/>
      <c r="G41" s="411"/>
      <c r="H41" s="411"/>
      <c r="I41" s="411"/>
      <c r="J41" s="411"/>
      <c r="K41" s="412"/>
      <c r="L41" s="413"/>
    </row>
    <row r="42" spans="2:19" s="9" customFormat="1" ht="24.75" customHeight="1" x14ac:dyDescent="0.2">
      <c r="B42" s="397" t="s">
        <v>143</v>
      </c>
      <c r="C42" s="408">
        <v>2.7109835221081534E-2</v>
      </c>
      <c r="D42" s="408">
        <v>2.7427644583798531E-2</v>
      </c>
      <c r="E42" s="408">
        <v>2.7256105968659187E-2</v>
      </c>
      <c r="F42" s="408">
        <v>2.6014731183636831E-2</v>
      </c>
      <c r="G42" s="408">
        <v>2.444934036735277E-2</v>
      </c>
      <c r="H42" s="408">
        <v>2.3753196351874572E-2</v>
      </c>
      <c r="I42" s="408">
        <v>2.2943693680356349E-2</v>
      </c>
      <c r="J42" s="408">
        <v>2.203169733103626E-2</v>
      </c>
      <c r="K42" s="409">
        <v>2.1395717053794679E-2</v>
      </c>
      <c r="L42" s="410">
        <v>2.2205073985320085E-2</v>
      </c>
      <c r="N42" s="801"/>
    </row>
    <row r="43" spans="2:19" ht="24.75" customHeight="1" x14ac:dyDescent="0.2">
      <c r="B43" s="405" t="s">
        <v>499</v>
      </c>
      <c r="C43" s="392">
        <v>3.2531039829843039E-2</v>
      </c>
      <c r="D43" s="392">
        <v>3.312506810691395E-2</v>
      </c>
      <c r="E43" s="392">
        <v>3.2802537964391122E-2</v>
      </c>
      <c r="F43" s="392">
        <v>3.0819292366616142E-2</v>
      </c>
      <c r="G43" s="392">
        <v>2.8702998960054005E-2</v>
      </c>
      <c r="H43" s="392">
        <v>2.8009969272141135E-2</v>
      </c>
      <c r="I43" s="392">
        <v>2.7058294784818016E-2</v>
      </c>
      <c r="J43" s="392">
        <v>2.6388692174562932E-2</v>
      </c>
      <c r="K43" s="406">
        <v>2.6145775408944978E-2</v>
      </c>
      <c r="L43" s="407">
        <v>2.6982967273970621E-2</v>
      </c>
    </row>
    <row r="44" spans="2:19" ht="11.25" customHeight="1" x14ac:dyDescent="0.2">
      <c r="B44" s="250"/>
      <c r="C44" s="250"/>
      <c r="D44" s="250"/>
      <c r="E44" s="250"/>
      <c r="F44" s="250"/>
      <c r="G44" s="250"/>
      <c r="H44" s="250"/>
      <c r="I44" s="250"/>
      <c r="J44" s="250"/>
      <c r="K44" s="250"/>
      <c r="L44" s="250"/>
    </row>
    <row r="45" spans="2:19" ht="18.75" customHeight="1" x14ac:dyDescent="0.2">
      <c r="B45" s="312" t="s">
        <v>686</v>
      </c>
      <c r="C45" s="311"/>
      <c r="D45" s="311"/>
      <c r="E45" s="311"/>
      <c r="F45" s="311"/>
      <c r="G45" s="311"/>
      <c r="H45" s="311"/>
      <c r="I45" s="311"/>
      <c r="J45" s="311"/>
      <c r="K45" s="311"/>
      <c r="L45" s="311"/>
    </row>
    <row r="46" spans="2:19" ht="18.75" customHeight="1" x14ac:dyDescent="0.2">
      <c r="B46" s="312" t="s">
        <v>498</v>
      </c>
      <c r="C46" s="311"/>
      <c r="D46" s="311"/>
      <c r="E46" s="311"/>
      <c r="F46" s="311"/>
      <c r="G46" s="311"/>
      <c r="H46" s="311"/>
      <c r="I46" s="311"/>
      <c r="J46" s="311"/>
      <c r="K46" s="311"/>
      <c r="L46" s="311"/>
    </row>
    <row r="47" spans="2:19" ht="18.75" customHeight="1" x14ac:dyDescent="0.2">
      <c r="B47" s="312" t="s">
        <v>648</v>
      </c>
      <c r="C47" s="311"/>
      <c r="D47" s="311"/>
      <c r="E47" s="311"/>
      <c r="F47" s="311"/>
      <c r="G47" s="311"/>
      <c r="H47" s="311"/>
      <c r="I47" s="311"/>
      <c r="J47" s="311"/>
      <c r="K47" s="311"/>
      <c r="L47" s="311"/>
    </row>
    <row r="48" spans="2:19" ht="27" customHeight="1" x14ac:dyDescent="0.2">
      <c r="B48" s="83"/>
      <c r="C48" s="37"/>
      <c r="D48" s="37"/>
      <c r="E48" s="37"/>
      <c r="F48" s="37"/>
      <c r="G48" s="37"/>
      <c r="H48" s="37"/>
      <c r="I48" s="37"/>
      <c r="J48" s="37"/>
      <c r="K48" s="37"/>
      <c r="L48" s="37"/>
    </row>
    <row r="49" spans="2:12" ht="34.5" customHeight="1" x14ac:dyDescent="0.2">
      <c r="B49" s="37"/>
      <c r="C49" s="37"/>
      <c r="D49" s="37"/>
      <c r="E49" s="37"/>
      <c r="F49" s="37"/>
      <c r="G49" s="37"/>
      <c r="H49" s="37"/>
      <c r="I49" s="37"/>
      <c r="J49" s="37"/>
      <c r="K49" s="37"/>
      <c r="L49" s="37"/>
    </row>
    <row r="50" spans="2:12" x14ac:dyDescent="0.2">
      <c r="B50" s="37"/>
      <c r="C50" s="37"/>
      <c r="D50" s="37"/>
      <c r="E50" s="37"/>
      <c r="F50" s="37"/>
      <c r="G50" s="37"/>
      <c r="H50" s="37"/>
      <c r="I50" s="37"/>
      <c r="J50" s="37"/>
      <c r="K50" s="37"/>
      <c r="L50" s="37"/>
    </row>
    <row r="51" spans="2:12" ht="24.75" customHeight="1" x14ac:dyDescent="0.2">
      <c r="B51" s="37"/>
      <c r="C51" s="37"/>
      <c r="D51" s="37"/>
      <c r="E51" s="37"/>
      <c r="F51" s="37"/>
      <c r="G51" s="37"/>
      <c r="H51" s="37"/>
      <c r="I51" s="37"/>
      <c r="J51" s="37"/>
      <c r="K51" s="37"/>
      <c r="L51" s="37"/>
    </row>
  </sheetData>
  <mergeCells count="1">
    <mergeCell ref="B5:L5"/>
  </mergeCells>
  <hyperlinks>
    <hyperlink ref="L2" location="'Cover '!A1" display="Back to Cover" xr:uid="{3863610A-EFDF-49AB-BA32-F7C5F2EB55D5}"/>
  </hyperlinks>
  <pageMargins left="0.7" right="0.7" top="0.75" bottom="0.75" header="0.3" footer="0.3"/>
  <pageSetup scale="5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C46CA-E650-42A2-AB1A-CEB202C7CCF8}">
  <sheetPr>
    <pageSetUpPr fitToPage="1"/>
  </sheetPr>
  <dimension ref="A1:V31"/>
  <sheetViews>
    <sheetView showGridLines="0" view="pageBreakPreview" zoomScale="90" zoomScaleNormal="90" zoomScaleSheetLayoutView="90" workbookViewId="0">
      <selection activeCell="H35" sqref="H35"/>
    </sheetView>
  </sheetViews>
  <sheetFormatPr defaultColWidth="9.140625" defaultRowHeight="15.75" x14ac:dyDescent="0.2"/>
  <cols>
    <col min="1" max="1" width="2.42578125" style="6" customWidth="1"/>
    <col min="2" max="2" width="29.140625" style="6" customWidth="1"/>
    <col min="3" max="3" width="37.140625" style="6" customWidth="1"/>
    <col min="4" max="13" width="15.85546875" style="6" customWidth="1"/>
    <col min="14" max="14" width="2.42578125" style="6" customWidth="1"/>
    <col min="15" max="16" width="13.42578125" style="6" customWidth="1"/>
    <col min="17" max="17" width="13.140625" style="6" bestFit="1" customWidth="1"/>
    <col min="18" max="16384" width="9.140625" style="6"/>
  </cols>
  <sheetData>
    <row r="1" spans="1:22" ht="15.75" customHeight="1" x14ac:dyDescent="0.2"/>
    <row r="2" spans="1:22" ht="15.75" customHeight="1" x14ac:dyDescent="0.2">
      <c r="B2" s="250"/>
      <c r="C2" s="250"/>
      <c r="D2" s="112"/>
      <c r="E2" s="112"/>
      <c r="F2" s="112"/>
      <c r="G2" s="112"/>
      <c r="H2" s="112"/>
      <c r="I2" s="112"/>
      <c r="J2" s="112"/>
      <c r="K2" s="112"/>
      <c r="L2" s="112"/>
      <c r="M2" s="112" t="s">
        <v>18</v>
      </c>
    </row>
    <row r="3" spans="1:22" ht="15.75" customHeight="1" x14ac:dyDescent="0.2">
      <c r="B3" s="250"/>
      <c r="C3" s="250"/>
      <c r="D3" s="250"/>
      <c r="E3" s="250"/>
      <c r="F3" s="250"/>
      <c r="G3" s="250"/>
      <c r="H3" s="250"/>
      <c r="I3" s="250"/>
      <c r="J3" s="250"/>
      <c r="K3" s="250"/>
      <c r="L3" s="250"/>
      <c r="M3" s="250"/>
    </row>
    <row r="4" spans="1:22" ht="15.75" customHeight="1" x14ac:dyDescent="0.2">
      <c r="B4" s="250"/>
      <c r="C4" s="250"/>
      <c r="D4" s="250"/>
      <c r="E4" s="250"/>
      <c r="F4" s="250"/>
      <c r="G4" s="250"/>
      <c r="H4" s="250"/>
      <c r="I4" s="250"/>
      <c r="J4" s="250"/>
      <c r="K4" s="250"/>
      <c r="L4" s="250"/>
      <c r="M4" s="250"/>
    </row>
    <row r="5" spans="1:22" s="17" customFormat="1" ht="28.5" x14ac:dyDescent="0.2">
      <c r="A5" s="16"/>
      <c r="B5" s="1091" t="s">
        <v>607</v>
      </c>
      <c r="C5" s="1091"/>
      <c r="D5" s="1091"/>
      <c r="E5" s="1091"/>
      <c r="F5" s="1091"/>
      <c r="G5" s="1091"/>
      <c r="H5" s="1091"/>
      <c r="I5" s="1091"/>
      <c r="J5" s="1091"/>
      <c r="K5" s="1091"/>
      <c r="L5" s="1091"/>
      <c r="M5" s="1091"/>
    </row>
    <row r="6" spans="1:22" s="17" customFormat="1" ht="9" customHeight="1" x14ac:dyDescent="0.2">
      <c r="A6" s="16"/>
      <c r="B6" s="414"/>
      <c r="C6" s="414"/>
      <c r="D6" s="415"/>
      <c r="E6" s="415"/>
      <c r="F6" s="415"/>
      <c r="G6" s="415"/>
      <c r="H6" s="415"/>
      <c r="I6" s="415"/>
      <c r="J6" s="415"/>
      <c r="K6" s="415"/>
      <c r="L6" s="415"/>
      <c r="M6" s="415"/>
    </row>
    <row r="7" spans="1:22" s="17" customFormat="1" ht="15.75" customHeight="1" x14ac:dyDescent="0.2">
      <c r="A7" s="18"/>
      <c r="B7" s="416"/>
      <c r="C7" s="416"/>
      <c r="D7" s="415"/>
      <c r="E7" s="415"/>
      <c r="F7" s="415"/>
      <c r="G7" s="415"/>
      <c r="H7" s="415"/>
      <c r="I7" s="415"/>
      <c r="J7" s="415"/>
      <c r="K7" s="415"/>
      <c r="L7" s="415"/>
      <c r="M7" s="415"/>
    </row>
    <row r="8" spans="1:22" ht="15" customHeight="1" x14ac:dyDescent="0.2">
      <c r="B8" s="250"/>
      <c r="C8" s="250"/>
      <c r="D8" s="250"/>
      <c r="E8" s="250"/>
      <c r="F8" s="250"/>
      <c r="G8" s="250"/>
      <c r="H8" s="250"/>
      <c r="I8" s="250"/>
      <c r="J8" s="250"/>
      <c r="K8" s="250"/>
      <c r="L8" s="250"/>
      <c r="M8" s="250"/>
    </row>
    <row r="9" spans="1:22" s="7" customFormat="1" ht="33.75" customHeight="1" x14ac:dyDescent="0.2">
      <c r="B9" s="325" t="s">
        <v>0</v>
      </c>
      <c r="C9" s="419"/>
      <c r="D9" s="326" t="s">
        <v>256</v>
      </c>
      <c r="E9" s="326" t="s">
        <v>336</v>
      </c>
      <c r="F9" s="326" t="s">
        <v>371</v>
      </c>
      <c r="G9" s="326" t="s">
        <v>388</v>
      </c>
      <c r="H9" s="326" t="s">
        <v>413</v>
      </c>
      <c r="I9" s="326" t="s">
        <v>420</v>
      </c>
      <c r="J9" s="326" t="s">
        <v>460</v>
      </c>
      <c r="K9" s="326" t="s">
        <v>512</v>
      </c>
      <c r="L9" s="327" t="s">
        <v>645</v>
      </c>
      <c r="M9" s="328" t="s">
        <v>665</v>
      </c>
    </row>
    <row r="10" spans="1:22" s="9" customFormat="1" ht="24.75" customHeight="1" x14ac:dyDescent="0.2">
      <c r="B10" s="1104" t="s">
        <v>70</v>
      </c>
      <c r="C10" s="310" t="s">
        <v>67</v>
      </c>
      <c r="D10" s="385">
        <v>20.989965670000007</v>
      </c>
      <c r="E10" s="387">
        <v>29.994878919999987</v>
      </c>
      <c r="F10" s="387">
        <v>26.907485699999935</v>
      </c>
      <c r="G10" s="387">
        <v>31.792947810000019</v>
      </c>
      <c r="H10" s="387">
        <v>30.920775140000032</v>
      </c>
      <c r="I10" s="387">
        <v>29.344298159999965</v>
      </c>
      <c r="J10" s="387">
        <v>25.663700910000024</v>
      </c>
      <c r="K10" s="387">
        <v>41.158841640000013</v>
      </c>
      <c r="L10" s="967">
        <v>34.259789929999997</v>
      </c>
      <c r="M10" s="388">
        <v>47.990322879999908</v>
      </c>
      <c r="O10" s="94"/>
      <c r="P10" s="94"/>
      <c r="Q10" s="1035"/>
      <c r="R10" s="94"/>
      <c r="S10" s="40"/>
      <c r="T10" s="931"/>
      <c r="U10" s="40"/>
      <c r="V10" s="1037"/>
    </row>
    <row r="11" spans="1:22" s="9" customFormat="1" ht="24.75" customHeight="1" x14ac:dyDescent="0.2">
      <c r="B11" s="1105"/>
      <c r="C11" s="310" t="s">
        <v>209</v>
      </c>
      <c r="D11" s="385">
        <v>12.373387230000002</v>
      </c>
      <c r="E11" s="387">
        <v>12.622917339999987</v>
      </c>
      <c r="F11" s="387">
        <v>13.086975720000007</v>
      </c>
      <c r="G11" s="387">
        <v>12.739504220000022</v>
      </c>
      <c r="H11" s="387">
        <v>12.553414919999998</v>
      </c>
      <c r="I11" s="387">
        <v>12.773198170000009</v>
      </c>
      <c r="J11" s="387">
        <v>13.209421689999987</v>
      </c>
      <c r="K11" s="387">
        <v>13.97566404</v>
      </c>
      <c r="L11" s="967">
        <v>14.332631360000002</v>
      </c>
      <c r="M11" s="388">
        <v>14.434084100000016</v>
      </c>
      <c r="O11" s="931"/>
      <c r="P11" s="94"/>
      <c r="Q11" s="931"/>
      <c r="R11" s="94"/>
      <c r="S11" s="40"/>
      <c r="T11" s="931"/>
      <c r="U11" s="40"/>
      <c r="V11" s="1037"/>
    </row>
    <row r="12" spans="1:22" s="9" customFormat="1" ht="24.75" customHeight="1" x14ac:dyDescent="0.2">
      <c r="B12" s="1105"/>
      <c r="C12" s="310" t="s">
        <v>210</v>
      </c>
      <c r="D12" s="385">
        <v>4.9715417300000011</v>
      </c>
      <c r="E12" s="387">
        <v>0.66665640000000037</v>
      </c>
      <c r="F12" s="387">
        <v>0.255</v>
      </c>
      <c r="G12" s="387">
        <v>0.616313</v>
      </c>
      <c r="H12" s="387">
        <v>1.8748244199999999</v>
      </c>
      <c r="I12" s="387">
        <v>3.7694388499999993</v>
      </c>
      <c r="J12" s="387">
        <v>2.7150561599999992</v>
      </c>
      <c r="K12" s="387">
        <v>6.8981417899999986</v>
      </c>
      <c r="L12" s="967">
        <v>7.5436306200000001</v>
      </c>
      <c r="M12" s="388">
        <v>4.61762608</v>
      </c>
      <c r="O12" s="931"/>
      <c r="P12" s="931"/>
      <c r="Q12" s="931"/>
      <c r="R12" s="94"/>
      <c r="S12" s="40"/>
      <c r="T12" s="931"/>
      <c r="U12" s="40"/>
      <c r="V12" s="1037"/>
    </row>
    <row r="13" spans="1:22" s="9" customFormat="1" ht="24.75" customHeight="1" x14ac:dyDescent="0.2">
      <c r="B13" s="1106" t="s">
        <v>71</v>
      </c>
      <c r="C13" s="420" t="s">
        <v>68</v>
      </c>
      <c r="D13" s="421">
        <v>13.70282772</v>
      </c>
      <c r="E13" s="422">
        <v>14.253332159999999</v>
      </c>
      <c r="F13" s="422">
        <v>13.307822639999996</v>
      </c>
      <c r="G13" s="422">
        <v>21.014092510000008</v>
      </c>
      <c r="H13" s="422">
        <v>17.809583720000006</v>
      </c>
      <c r="I13" s="422">
        <v>18.022123470000007</v>
      </c>
      <c r="J13" s="422">
        <v>18.107963049999967</v>
      </c>
      <c r="K13" s="422">
        <v>25.932569100000084</v>
      </c>
      <c r="L13" s="971">
        <v>23.139719647142865</v>
      </c>
      <c r="M13" s="423">
        <v>23.656723982857134</v>
      </c>
      <c r="O13" s="931"/>
      <c r="P13" s="931"/>
      <c r="Q13" s="931"/>
      <c r="R13" s="94"/>
      <c r="S13" s="40"/>
      <c r="T13" s="931"/>
      <c r="U13" s="40"/>
      <c r="V13" s="1037"/>
    </row>
    <row r="14" spans="1:22" s="9" customFormat="1" ht="24.75" customHeight="1" x14ac:dyDescent="0.2">
      <c r="B14" s="1104"/>
      <c r="C14" s="310" t="s">
        <v>605</v>
      </c>
      <c r="D14" s="385"/>
      <c r="E14" s="387"/>
      <c r="F14" s="387"/>
      <c r="G14" s="387"/>
      <c r="H14" s="387"/>
      <c r="I14" s="387"/>
      <c r="J14" s="387"/>
      <c r="K14" s="387">
        <v>10.096993999999999</v>
      </c>
      <c r="L14" s="967">
        <v>19.528997</v>
      </c>
      <c r="M14" s="388">
        <v>46.156074999999994</v>
      </c>
      <c r="O14" s="931"/>
      <c r="P14" s="94"/>
      <c r="Q14" s="931"/>
      <c r="R14" s="94"/>
      <c r="S14" s="40"/>
      <c r="T14" s="931"/>
      <c r="U14" s="40"/>
      <c r="V14" s="94"/>
    </row>
    <row r="15" spans="1:22" s="9" customFormat="1" ht="24.75" customHeight="1" x14ac:dyDescent="0.2">
      <c r="B15" s="1105"/>
      <c r="C15" s="310" t="s">
        <v>211</v>
      </c>
      <c r="D15" s="385">
        <v>11.76488726</v>
      </c>
      <c r="E15" s="387">
        <v>12.357322129999993</v>
      </c>
      <c r="F15" s="387">
        <v>13.371358660000011</v>
      </c>
      <c r="G15" s="387">
        <v>14.410830580000018</v>
      </c>
      <c r="H15" s="387">
        <v>16.404496149999993</v>
      </c>
      <c r="I15" s="387">
        <v>18.143255880000005</v>
      </c>
      <c r="J15" s="387">
        <v>18.268796890000043</v>
      </c>
      <c r="K15" s="387">
        <v>20.951708769999982</v>
      </c>
      <c r="L15" s="967">
        <v>22.723539950000003</v>
      </c>
      <c r="M15" s="388">
        <v>23.242889300000002</v>
      </c>
      <c r="O15" s="931"/>
      <c r="P15" s="94"/>
      <c r="Q15" s="931"/>
      <c r="R15" s="94"/>
      <c r="S15" s="40"/>
      <c r="T15" s="931"/>
      <c r="U15" s="40"/>
      <c r="V15" s="94"/>
    </row>
    <row r="16" spans="1:22" s="9" customFormat="1" ht="24.75" customHeight="1" x14ac:dyDescent="0.2">
      <c r="B16" s="1107"/>
      <c r="C16" s="424" t="s">
        <v>69</v>
      </c>
      <c r="D16" s="425">
        <v>7.338402010000002</v>
      </c>
      <c r="E16" s="426">
        <v>6.2281842699999928</v>
      </c>
      <c r="F16" s="426">
        <v>5.0567845400000087</v>
      </c>
      <c r="G16" s="426">
        <v>6.4533602000000005</v>
      </c>
      <c r="H16" s="426">
        <v>8.0315124899999955</v>
      </c>
      <c r="I16" s="426">
        <v>8.0722621400000172</v>
      </c>
      <c r="J16" s="426">
        <v>8.3065851599999849</v>
      </c>
      <c r="K16" s="426">
        <v>7.9941905400000088</v>
      </c>
      <c r="L16" s="972">
        <v>11.652113120000006</v>
      </c>
      <c r="M16" s="427">
        <v>9.6810570499999979</v>
      </c>
      <c r="O16" s="931"/>
      <c r="P16" s="931"/>
      <c r="Q16" s="931"/>
      <c r="R16" s="94"/>
      <c r="S16" s="40"/>
      <c r="T16" s="931"/>
      <c r="U16" s="40"/>
      <c r="V16" s="94"/>
    </row>
    <row r="17" spans="2:22" s="9" customFormat="1" ht="24.75" customHeight="1" x14ac:dyDescent="0.35">
      <c r="B17" s="1106" t="s">
        <v>261</v>
      </c>
      <c r="C17" s="658" t="s">
        <v>212</v>
      </c>
      <c r="D17" s="385">
        <v>25.529238529999983</v>
      </c>
      <c r="E17" s="387">
        <v>32.068742939999986</v>
      </c>
      <c r="F17" s="387">
        <v>31.20381618572452</v>
      </c>
      <c r="G17" s="387">
        <v>26.320772274275505</v>
      </c>
      <c r="H17" s="387">
        <v>20.33617074999999</v>
      </c>
      <c r="I17" s="387">
        <v>21.319999100000011</v>
      </c>
      <c r="J17" s="387">
        <v>20.762987389999989</v>
      </c>
      <c r="K17" s="387">
        <v>22.168599039999982</v>
      </c>
      <c r="L17" s="967">
        <v>23.073354000000009</v>
      </c>
      <c r="M17" s="388">
        <v>22.14454083</v>
      </c>
      <c r="O17" s="931"/>
      <c r="P17" s="931"/>
      <c r="Q17" s="931"/>
      <c r="R17" s="94"/>
      <c r="S17" s="40"/>
      <c r="T17" s="931"/>
      <c r="U17" s="40"/>
      <c r="V17" s="94"/>
    </row>
    <row r="18" spans="2:22" s="9" customFormat="1" ht="24.75" customHeight="1" x14ac:dyDescent="0.35">
      <c r="B18" s="1104"/>
      <c r="C18" s="658" t="s">
        <v>441</v>
      </c>
      <c r="D18" s="385">
        <v>12.538069229999987</v>
      </c>
      <c r="E18" s="385">
        <v>31.883706760000038</v>
      </c>
      <c r="F18" s="387">
        <v>17.627682088499995</v>
      </c>
      <c r="G18" s="387">
        <v>13.972654061499908</v>
      </c>
      <c r="H18" s="387">
        <v>16.90118278000001</v>
      </c>
      <c r="I18" s="387">
        <v>18.847312180000007</v>
      </c>
      <c r="J18" s="387">
        <v>20.855335699999959</v>
      </c>
      <c r="K18" s="387">
        <v>17.296793310000027</v>
      </c>
      <c r="L18" s="967">
        <v>15.08803345285714</v>
      </c>
      <c r="M18" s="388">
        <v>20.739427217142854</v>
      </c>
      <c r="O18" s="1036"/>
      <c r="P18" s="1036"/>
      <c r="Q18" s="1036"/>
      <c r="R18" s="94"/>
      <c r="S18" s="40"/>
      <c r="T18" s="931"/>
      <c r="U18" s="40"/>
      <c r="V18" s="94"/>
    </row>
    <row r="19" spans="2:22" s="9" customFormat="1" ht="24.75" customHeight="1" x14ac:dyDescent="0.35">
      <c r="B19" s="1104"/>
      <c r="C19" s="658" t="s">
        <v>72</v>
      </c>
      <c r="D19" s="385">
        <v>5.7502876800000005</v>
      </c>
      <c r="E19" s="387">
        <v>6.2084622799999822</v>
      </c>
      <c r="F19" s="387">
        <v>4.9752584600000045</v>
      </c>
      <c r="G19" s="387">
        <v>5.7305902500000192</v>
      </c>
      <c r="H19" s="387">
        <v>3.0884426099999991</v>
      </c>
      <c r="I19" s="387">
        <v>2.1799628900000041</v>
      </c>
      <c r="J19" s="387">
        <v>3.3212241899999944</v>
      </c>
      <c r="K19" s="387">
        <v>3.3496901699999544</v>
      </c>
      <c r="L19" s="967">
        <v>3.0669490800000028</v>
      </c>
      <c r="M19" s="388">
        <v>2.455882830000002</v>
      </c>
      <c r="O19" s="931"/>
      <c r="P19" s="94"/>
      <c r="Q19" s="931"/>
      <c r="R19" s="94"/>
      <c r="S19" s="40"/>
      <c r="T19" s="931"/>
      <c r="U19" s="40"/>
      <c r="V19" s="94"/>
    </row>
    <row r="20" spans="2:22" s="9" customFormat="1" ht="24.75" customHeight="1" x14ac:dyDescent="0.35">
      <c r="B20" s="1104"/>
      <c r="C20" s="658" t="s">
        <v>213</v>
      </c>
      <c r="D20" s="385">
        <v>6.9012271099999998</v>
      </c>
      <c r="E20" s="387">
        <v>8.0802019100000049</v>
      </c>
      <c r="F20" s="387">
        <v>7.6880291799999991</v>
      </c>
      <c r="G20" s="387">
        <v>7.1397608500000098</v>
      </c>
      <c r="H20" s="387">
        <v>6.4498443600000002</v>
      </c>
      <c r="I20" s="387">
        <v>7.8609721200000005</v>
      </c>
      <c r="J20" s="387">
        <v>6.4896743799999994</v>
      </c>
      <c r="K20" s="387">
        <v>9.4216606099999947</v>
      </c>
      <c r="L20" s="967">
        <v>7.8979010200000017</v>
      </c>
      <c r="M20" s="388">
        <v>8.5218210599999953</v>
      </c>
      <c r="O20" s="931"/>
      <c r="P20" s="931"/>
      <c r="Q20" s="931"/>
      <c r="R20" s="94"/>
      <c r="S20" s="40"/>
      <c r="T20" s="931"/>
      <c r="U20" s="40"/>
      <c r="V20" s="94"/>
    </row>
    <row r="21" spans="2:22" ht="24.75" customHeight="1" x14ac:dyDescent="0.35">
      <c r="B21" s="1108"/>
      <c r="C21" s="658" t="s">
        <v>39</v>
      </c>
      <c r="D21" s="385">
        <v>3.5131142099999968</v>
      </c>
      <c r="E21" s="387">
        <v>4.9890183500000047</v>
      </c>
      <c r="F21" s="387">
        <v>1.0994184199999999</v>
      </c>
      <c r="G21" s="387">
        <v>1.7304770199999902</v>
      </c>
      <c r="H21" s="387">
        <v>2.900739730000002</v>
      </c>
      <c r="I21" s="387">
        <v>2.1675045799999939</v>
      </c>
      <c r="J21" s="387">
        <v>2.6274973200000105</v>
      </c>
      <c r="K21" s="387">
        <v>1.3782173199999961</v>
      </c>
      <c r="L21" s="967">
        <v>2.7532756199999975</v>
      </c>
      <c r="M21" s="388">
        <v>2.3624257999999982</v>
      </c>
      <c r="O21" s="931"/>
      <c r="P21" s="931"/>
      <c r="Q21" s="931"/>
      <c r="R21" s="94"/>
      <c r="S21" s="40"/>
      <c r="T21" s="931"/>
      <c r="U21" s="40"/>
      <c r="V21" s="94"/>
    </row>
    <row r="22" spans="2:22" s="9" customFormat="1" ht="24.75" customHeight="1" x14ac:dyDescent="0.2">
      <c r="B22" s="433" t="s">
        <v>214</v>
      </c>
      <c r="C22" s="434"/>
      <c r="D22" s="435">
        <v>19.946999999999999</v>
      </c>
      <c r="E22" s="436">
        <v>19.885999999999999</v>
      </c>
      <c r="F22" s="436">
        <v>21.317130179999999</v>
      </c>
      <c r="G22" s="436">
        <v>25.41</v>
      </c>
      <c r="H22" s="436">
        <v>22.512</v>
      </c>
      <c r="I22" s="436">
        <v>23.032</v>
      </c>
      <c r="J22" s="436">
        <v>23.527999999999999</v>
      </c>
      <c r="K22" s="436">
        <v>25.876000000000001</v>
      </c>
      <c r="L22" s="973">
        <v>25.286999999999999</v>
      </c>
      <c r="M22" s="437">
        <v>25.169</v>
      </c>
      <c r="O22" s="931"/>
      <c r="P22" s="94"/>
      <c r="Q22" s="931"/>
      <c r="R22" s="94"/>
      <c r="S22" s="40"/>
      <c r="T22" s="931"/>
      <c r="U22" s="40"/>
      <c r="V22" s="94"/>
    </row>
    <row r="23" spans="2:22" ht="24.75" customHeight="1" x14ac:dyDescent="0.2">
      <c r="B23" s="428" t="s">
        <v>73</v>
      </c>
      <c r="C23" s="429"/>
      <c r="D23" s="430">
        <f t="shared" ref="D23:J23" si="0">SUM(D10:D22)</f>
        <v>145.31994837999997</v>
      </c>
      <c r="E23" s="430">
        <f t="shared" si="0"/>
        <v>179.23942345999998</v>
      </c>
      <c r="F23" s="430">
        <f t="shared" si="0"/>
        <v>155.89676177422447</v>
      </c>
      <c r="G23" s="430">
        <f t="shared" si="0"/>
        <v>167.33130277577553</v>
      </c>
      <c r="H23" s="430">
        <f t="shared" si="0"/>
        <v>159.78298707000005</v>
      </c>
      <c r="I23" s="430">
        <f t="shared" si="0"/>
        <v>165.53232754000007</v>
      </c>
      <c r="J23" s="430">
        <f t="shared" si="0"/>
        <v>163.85624283999994</v>
      </c>
      <c r="K23" s="430">
        <f>SUM(K10:K22)</f>
        <v>206.49907033000005</v>
      </c>
      <c r="L23" s="431">
        <f>SUM(L10:L22)</f>
        <v>210.34693480000004</v>
      </c>
      <c r="M23" s="432">
        <f>SUM(M10:N22)</f>
        <v>251.17187612999996</v>
      </c>
      <c r="O23" s="931"/>
      <c r="P23" s="94"/>
      <c r="Q23" s="931"/>
      <c r="R23" s="94"/>
      <c r="S23" s="40"/>
      <c r="T23" s="931"/>
      <c r="U23" s="931"/>
      <c r="V23" s="94"/>
    </row>
    <row r="24" spans="2:22" ht="15" customHeight="1" x14ac:dyDescent="0.2">
      <c r="B24" s="417"/>
      <c r="C24" s="417"/>
      <c r="D24" s="418"/>
      <c r="E24" s="418"/>
      <c r="F24" s="418"/>
      <c r="G24" s="418"/>
      <c r="H24" s="418"/>
      <c r="I24" s="418"/>
      <c r="J24" s="418"/>
      <c r="K24" s="418"/>
      <c r="L24" s="418"/>
      <c r="M24" s="418"/>
      <c r="Q24" s="40"/>
      <c r="R24" s="51"/>
      <c r="S24" s="40"/>
      <c r="T24" s="40"/>
    </row>
    <row r="25" spans="2:22" ht="28.5" customHeight="1" x14ac:dyDescent="0.2">
      <c r="B25" s="1103"/>
      <c r="C25" s="1103"/>
      <c r="D25" s="1103"/>
      <c r="E25" s="1103"/>
      <c r="F25" s="1103"/>
      <c r="G25" s="1103"/>
      <c r="H25" s="1103"/>
      <c r="I25" s="1103"/>
      <c r="J25" s="1103"/>
      <c r="K25" s="1103"/>
      <c r="L25" s="1103"/>
      <c r="M25" s="1103"/>
      <c r="Q25" s="40"/>
      <c r="R25" s="40"/>
      <c r="S25" s="40"/>
      <c r="T25" s="40"/>
    </row>
    <row r="26" spans="2:22" ht="28.5" customHeight="1" x14ac:dyDescent="0.2">
      <c r="B26" s="1103"/>
      <c r="C26" s="1103"/>
      <c r="D26" s="163"/>
      <c r="E26" s="163"/>
      <c r="F26" s="163"/>
      <c r="G26" s="163"/>
      <c r="H26" s="163"/>
      <c r="I26" s="163"/>
      <c r="J26" s="163"/>
      <c r="K26" s="163"/>
      <c r="L26" s="163"/>
      <c r="M26" s="163"/>
      <c r="Q26" s="40"/>
      <c r="R26" s="40"/>
      <c r="S26" s="40"/>
      <c r="T26" s="40"/>
    </row>
    <row r="27" spans="2:22" ht="11.25" customHeight="1" x14ac:dyDescent="0.2">
      <c r="Q27" s="40"/>
      <c r="R27" s="40"/>
      <c r="S27" s="40"/>
      <c r="T27" s="40"/>
    </row>
    <row r="28" spans="2:22" x14ac:dyDescent="0.2">
      <c r="B28" s="36"/>
      <c r="C28" s="36"/>
      <c r="D28" s="37"/>
      <c r="E28" s="37"/>
      <c r="F28" s="37"/>
      <c r="G28" s="37"/>
      <c r="H28" s="37"/>
      <c r="I28" s="37"/>
      <c r="J28" s="37"/>
      <c r="K28" s="37"/>
      <c r="L28" s="37"/>
      <c r="M28" s="37"/>
      <c r="Q28" s="40"/>
      <c r="R28" s="40"/>
      <c r="S28" s="40"/>
      <c r="T28" s="40"/>
    </row>
    <row r="29" spans="2:22" ht="34.5" customHeight="1" x14ac:dyDescent="0.2">
      <c r="B29" s="37"/>
      <c r="C29" s="37"/>
      <c r="D29" s="62"/>
      <c r="E29" s="62"/>
      <c r="F29" s="62"/>
      <c r="G29" s="62"/>
      <c r="H29" s="62"/>
      <c r="I29" s="62"/>
      <c r="J29" s="62"/>
      <c r="K29" s="62"/>
      <c r="L29" s="62"/>
      <c r="M29" s="37"/>
      <c r="Q29" s="40"/>
      <c r="R29" s="40"/>
      <c r="S29" s="40"/>
      <c r="T29" s="40"/>
    </row>
    <row r="30" spans="2:22" x14ac:dyDescent="0.2">
      <c r="B30" s="37"/>
      <c r="C30" s="37"/>
      <c r="D30" s="37"/>
      <c r="E30" s="37"/>
      <c r="F30" s="37"/>
      <c r="G30" s="37"/>
      <c r="H30" s="37"/>
      <c r="I30" s="37"/>
      <c r="J30" s="37"/>
      <c r="K30" s="37"/>
      <c r="L30" s="37"/>
      <c r="M30" s="37"/>
    </row>
    <row r="31" spans="2:22" ht="24.75" customHeight="1" x14ac:dyDescent="0.2">
      <c r="B31" s="37"/>
      <c r="C31" s="37"/>
      <c r="D31" s="37"/>
      <c r="E31" s="37"/>
      <c r="F31" s="37"/>
      <c r="G31" s="37"/>
      <c r="H31" s="37"/>
      <c r="I31" s="37"/>
      <c r="J31" s="37"/>
      <c r="K31" s="37"/>
      <c r="L31" s="37"/>
      <c r="M31" s="37"/>
    </row>
  </sheetData>
  <mergeCells count="6">
    <mergeCell ref="B5:M5"/>
    <mergeCell ref="B26:C26"/>
    <mergeCell ref="B10:B12"/>
    <mergeCell ref="B13:B16"/>
    <mergeCell ref="B17:B21"/>
    <mergeCell ref="B25:M25"/>
  </mergeCells>
  <hyperlinks>
    <hyperlink ref="M2" location="'Cover '!A1" display="Back to Cover" xr:uid="{C5603B20-4257-40A1-AF78-FB7D46DFECC0}"/>
  </hyperlinks>
  <pageMargins left="0.7" right="0.7" top="0.75" bottom="0.75" header="0.3" footer="0.3"/>
  <pageSetup scale="5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4F27E-4884-4F42-9563-FB4DB840E220}">
  <sheetPr>
    <pageSetUpPr fitToPage="1"/>
  </sheetPr>
  <dimension ref="A1:R40"/>
  <sheetViews>
    <sheetView showGridLines="0" view="pageBreakPreview" zoomScale="85" zoomScaleNormal="90" zoomScaleSheetLayoutView="85" workbookViewId="0">
      <selection activeCell="L36" sqref="L36"/>
    </sheetView>
  </sheetViews>
  <sheetFormatPr defaultColWidth="9.140625" defaultRowHeight="15.75" x14ac:dyDescent="0.2"/>
  <cols>
    <col min="1" max="1" width="2.42578125" style="6" customWidth="1"/>
    <col min="2" max="2" width="61.28515625" style="6" customWidth="1"/>
    <col min="3" max="12" width="15.85546875" style="6" customWidth="1"/>
    <col min="13" max="13" width="2.42578125" style="6" customWidth="1"/>
    <col min="14" max="16384" width="9.140625" style="6"/>
  </cols>
  <sheetData>
    <row r="1" spans="1:18" ht="15.75" customHeight="1" x14ac:dyDescent="0.2"/>
    <row r="2" spans="1:18" ht="15.75" customHeight="1" x14ac:dyDescent="0.2">
      <c r="B2" s="110"/>
      <c r="C2" s="113"/>
      <c r="D2" s="113"/>
      <c r="E2" s="113"/>
      <c r="F2" s="113"/>
      <c r="G2" s="113"/>
      <c r="H2" s="113"/>
      <c r="I2" s="113"/>
      <c r="J2" s="113"/>
      <c r="K2" s="113"/>
      <c r="L2" s="112" t="s">
        <v>18</v>
      </c>
    </row>
    <row r="3" spans="1:18" ht="15.75" customHeight="1" x14ac:dyDescent="0.2">
      <c r="B3" s="110"/>
      <c r="C3" s="110"/>
      <c r="D3" s="110"/>
      <c r="E3" s="110"/>
      <c r="F3" s="110"/>
      <c r="G3" s="110"/>
      <c r="H3" s="110"/>
      <c r="I3" s="110"/>
      <c r="J3" s="110"/>
      <c r="K3" s="110"/>
      <c r="L3" s="110"/>
    </row>
    <row r="4" spans="1:18" ht="15.75" customHeight="1" x14ac:dyDescent="0.2">
      <c r="B4" s="110"/>
      <c r="C4" s="110"/>
      <c r="D4" s="110"/>
      <c r="E4" s="110"/>
      <c r="F4" s="110"/>
      <c r="G4" s="110"/>
      <c r="H4" s="110"/>
      <c r="I4" s="110"/>
      <c r="J4" s="110"/>
      <c r="K4" s="110"/>
      <c r="L4" s="110"/>
    </row>
    <row r="5" spans="1:18" s="17" customFormat="1" ht="28.5" x14ac:dyDescent="0.2">
      <c r="A5" s="16"/>
      <c r="B5" s="1091" t="s">
        <v>352</v>
      </c>
      <c r="C5" s="1102"/>
      <c r="D5" s="1102"/>
      <c r="E5" s="1102"/>
      <c r="F5" s="1102"/>
      <c r="G5" s="1102"/>
      <c r="H5" s="1102"/>
      <c r="I5" s="1102"/>
      <c r="J5" s="1102"/>
      <c r="K5" s="1102"/>
      <c r="L5" s="1102"/>
    </row>
    <row r="6" spans="1:18" s="17" customFormat="1" ht="9" customHeight="1" x14ac:dyDescent="0.2">
      <c r="A6" s="16"/>
      <c r="B6" s="117"/>
      <c r="C6" s="116"/>
      <c r="D6" s="116"/>
      <c r="E6" s="116"/>
      <c r="F6" s="116"/>
      <c r="G6" s="116"/>
      <c r="H6" s="116"/>
      <c r="I6" s="116"/>
      <c r="J6" s="116"/>
      <c r="K6" s="116"/>
      <c r="L6" s="116"/>
    </row>
    <row r="7" spans="1:18" s="17" customFormat="1" ht="16.5" customHeight="1" x14ac:dyDescent="0.2">
      <c r="A7" s="16"/>
      <c r="B7" s="138" t="s">
        <v>0</v>
      </c>
      <c r="C7" s="415"/>
      <c r="D7" s="415"/>
      <c r="E7" s="415"/>
      <c r="F7" s="866"/>
      <c r="G7" s="415"/>
      <c r="H7" s="415"/>
      <c r="I7" s="866"/>
      <c r="J7" s="866"/>
      <c r="K7" s="866"/>
      <c r="L7" s="866"/>
    </row>
    <row r="8" spans="1:18" s="17" customFormat="1" ht="22.5" customHeight="1" x14ac:dyDescent="0.2">
      <c r="A8" s="16"/>
      <c r="B8" s="821" t="s">
        <v>249</v>
      </c>
      <c r="C8" s="822" t="s">
        <v>256</v>
      </c>
      <c r="D8" s="822" t="s">
        <v>336</v>
      </c>
      <c r="E8" s="822" t="s">
        <v>371</v>
      </c>
      <c r="F8" s="822" t="s">
        <v>388</v>
      </c>
      <c r="G8" s="822" t="s">
        <v>413</v>
      </c>
      <c r="H8" s="822" t="s">
        <v>420</v>
      </c>
      <c r="I8" s="822" t="s">
        <v>460</v>
      </c>
      <c r="J8" s="822" t="s">
        <v>512</v>
      </c>
      <c r="K8" s="822" t="s">
        <v>645</v>
      </c>
      <c r="L8" s="822" t="s">
        <v>665</v>
      </c>
    </row>
    <row r="9" spans="1:18" s="17" customFormat="1" ht="22.5" customHeight="1" x14ac:dyDescent="0.2">
      <c r="A9" s="16"/>
      <c r="B9" s="823" t="s">
        <v>564</v>
      </c>
      <c r="C9" s="142">
        <v>90.584107119999999</v>
      </c>
      <c r="D9" s="143">
        <v>95.583454500000016</v>
      </c>
      <c r="E9" s="143">
        <v>98.81072524999999</v>
      </c>
      <c r="F9" s="143">
        <v>111.27317176</v>
      </c>
      <c r="G9" s="143">
        <v>97.660254000000009</v>
      </c>
      <c r="H9" s="143">
        <v>101.57378199999999</v>
      </c>
      <c r="I9" s="143">
        <v>97.577922000000001</v>
      </c>
      <c r="J9" s="143">
        <v>117.30483575000001</v>
      </c>
      <c r="K9" s="143">
        <v>102.381502</v>
      </c>
      <c r="L9" s="744">
        <v>119.37362</v>
      </c>
      <c r="O9" s="71"/>
    </row>
    <row r="10" spans="1:18" s="17" customFormat="1" ht="22.5" customHeight="1" x14ac:dyDescent="0.2">
      <c r="A10" s="16"/>
      <c r="B10" s="823" t="s">
        <v>563</v>
      </c>
      <c r="C10" s="142">
        <v>9.6033038800000003</v>
      </c>
      <c r="D10" s="143">
        <v>4.2904095</v>
      </c>
      <c r="E10" s="143">
        <v>1.837108</v>
      </c>
      <c r="F10" s="143">
        <v>38.653692239999998</v>
      </c>
      <c r="G10" s="143">
        <v>0</v>
      </c>
      <c r="H10" s="143">
        <v>0</v>
      </c>
      <c r="I10" s="143">
        <v>0</v>
      </c>
      <c r="J10" s="143">
        <v>15.1</v>
      </c>
      <c r="K10" s="143">
        <v>0</v>
      </c>
      <c r="L10" s="744">
        <v>0</v>
      </c>
      <c r="O10" s="71"/>
    </row>
    <row r="11" spans="1:18" s="17" customFormat="1" ht="22.5" customHeight="1" x14ac:dyDescent="0.2">
      <c r="A11" s="16"/>
      <c r="B11" s="823" t="s">
        <v>510</v>
      </c>
      <c r="C11" s="142">
        <v>0.680589</v>
      </c>
      <c r="D11" s="143">
        <v>0.92813599999999996</v>
      </c>
      <c r="E11" s="143">
        <v>1.0070220000000001</v>
      </c>
      <c r="F11" s="143">
        <v>1.7921360000000002</v>
      </c>
      <c r="G11" s="143">
        <v>1.4327460000000001</v>
      </c>
      <c r="H11" s="143">
        <v>1.8892179999999998</v>
      </c>
      <c r="I11" s="143">
        <v>1.8650780000000002</v>
      </c>
      <c r="J11" s="143">
        <v>3.9085359999999998</v>
      </c>
      <c r="K11" s="143">
        <v>2.0945999999999998</v>
      </c>
      <c r="L11" s="744">
        <v>2.0006970000000006</v>
      </c>
      <c r="O11" s="71"/>
    </row>
    <row r="12" spans="1:18" s="17" customFormat="1" ht="22.5" customHeight="1" x14ac:dyDescent="0.2">
      <c r="A12" s="16"/>
      <c r="B12" s="823" t="s">
        <v>588</v>
      </c>
      <c r="C12" s="142"/>
      <c r="D12" s="143"/>
      <c r="E12" s="143"/>
      <c r="F12" s="143"/>
      <c r="G12" s="143"/>
      <c r="H12" s="143"/>
      <c r="I12" s="143"/>
      <c r="J12" s="143">
        <v>4.1218070000000004</v>
      </c>
      <c r="K12" s="970">
        <v>4.2058980000000004</v>
      </c>
      <c r="L12" s="927">
        <v>4.1596830000000002</v>
      </c>
      <c r="O12" s="71"/>
    </row>
    <row r="13" spans="1:18" s="17" customFormat="1" ht="22.5" customHeight="1" x14ac:dyDescent="0.2">
      <c r="A13" s="16"/>
      <c r="B13" s="824" t="s">
        <v>73</v>
      </c>
      <c r="C13" s="825">
        <f>SUM(C9:C12)</f>
        <v>100.86799999999999</v>
      </c>
      <c r="D13" s="825">
        <f>SUM(D9:D12)</f>
        <v>100.80200000000001</v>
      </c>
      <c r="E13" s="825">
        <f t="shared" ref="E13:I13" si="0">SUM(E9:E12)</f>
        <v>101.65485525</v>
      </c>
      <c r="F13" s="825">
        <f t="shared" si="0"/>
        <v>151.71899999999999</v>
      </c>
      <c r="G13" s="825">
        <f t="shared" si="0"/>
        <v>99.093000000000004</v>
      </c>
      <c r="H13" s="825">
        <f t="shared" si="0"/>
        <v>103.46299999999999</v>
      </c>
      <c r="I13" s="825">
        <f t="shared" si="0"/>
        <v>99.442999999999998</v>
      </c>
      <c r="J13" s="825">
        <f>SUM(J9:J12)</f>
        <v>140.43517875000001</v>
      </c>
      <c r="K13" s="825">
        <f>SUM(K9:K12)</f>
        <v>108.682</v>
      </c>
      <c r="L13" s="825">
        <f>SUM(L9:L12)</f>
        <v>125.53400000000001</v>
      </c>
      <c r="O13" s="71"/>
    </row>
    <row r="14" spans="1:18" ht="15" customHeight="1" x14ac:dyDescent="0.2">
      <c r="B14" s="250"/>
      <c r="C14" s="250"/>
      <c r="D14" s="250"/>
      <c r="E14" s="250"/>
      <c r="F14" s="250"/>
      <c r="G14" s="250"/>
      <c r="H14" s="250"/>
      <c r="I14" s="250"/>
      <c r="J14" s="250"/>
      <c r="K14" s="250"/>
      <c r="L14" s="250"/>
    </row>
    <row r="15" spans="1:18" s="7" customFormat="1" ht="33.75" customHeight="1" x14ac:dyDescent="0.2">
      <c r="B15" s="821" t="s">
        <v>250</v>
      </c>
      <c r="C15" s="822" t="s">
        <v>256</v>
      </c>
      <c r="D15" s="822" t="s">
        <v>336</v>
      </c>
      <c r="E15" s="822" t="s">
        <v>371</v>
      </c>
      <c r="F15" s="822" t="s">
        <v>388</v>
      </c>
      <c r="G15" s="822" t="s">
        <v>413</v>
      </c>
      <c r="H15" s="822" t="s">
        <v>420</v>
      </c>
      <c r="I15" s="822" t="s">
        <v>460</v>
      </c>
      <c r="J15" s="822" t="s">
        <v>512</v>
      </c>
      <c r="K15" s="822" t="s">
        <v>645</v>
      </c>
      <c r="L15" s="822" t="s">
        <v>665</v>
      </c>
    </row>
    <row r="16" spans="1:18" s="9" customFormat="1" ht="24.75" customHeight="1" x14ac:dyDescent="0.2">
      <c r="B16" s="310" t="s">
        <v>74</v>
      </c>
      <c r="C16" s="385">
        <v>6.5122675299999999</v>
      </c>
      <c r="D16" s="387">
        <v>6.7163214799999986</v>
      </c>
      <c r="E16" s="387">
        <v>6.6413637200000029</v>
      </c>
      <c r="F16" s="387">
        <v>5.841734559999999</v>
      </c>
      <c r="G16" s="387">
        <v>6.6830210599999997</v>
      </c>
      <c r="H16" s="387">
        <v>6.9214312900000028</v>
      </c>
      <c r="I16" s="387">
        <v>6.484388059999997</v>
      </c>
      <c r="J16" s="387">
        <v>5.5923952000000074</v>
      </c>
      <c r="K16" s="387">
        <v>6.4768136499999995</v>
      </c>
      <c r="L16" s="826">
        <v>6.3636782199999979</v>
      </c>
      <c r="N16" s="38"/>
      <c r="O16" s="71"/>
      <c r="P16" s="802"/>
      <c r="Q16" s="38"/>
      <c r="R16" s="70"/>
    </row>
    <row r="17" spans="2:18" s="9" customFormat="1" ht="24.75" customHeight="1" x14ac:dyDescent="0.2">
      <c r="B17" s="310" t="s">
        <v>140</v>
      </c>
      <c r="C17" s="385">
        <v>9.0210918300000014</v>
      </c>
      <c r="D17" s="387">
        <v>7.6572765000000009</v>
      </c>
      <c r="E17" s="387">
        <v>7.991231379999995</v>
      </c>
      <c r="F17" s="387">
        <v>7.3629195200000002</v>
      </c>
      <c r="G17" s="387">
        <v>8.5886146599999993</v>
      </c>
      <c r="H17" s="387">
        <v>8.1927025499999999</v>
      </c>
      <c r="I17" s="387">
        <v>7.3508940300000019</v>
      </c>
      <c r="J17" s="387">
        <v>7.9515649999999969</v>
      </c>
      <c r="K17" s="387">
        <v>8.5548392900000021</v>
      </c>
      <c r="L17" s="826">
        <v>8.3586601500000004</v>
      </c>
      <c r="N17" s="38"/>
      <c r="O17" s="71"/>
      <c r="P17" s="802"/>
      <c r="Q17" s="38"/>
      <c r="R17" s="70"/>
    </row>
    <row r="18" spans="2:18" s="9" customFormat="1" ht="24.75" customHeight="1" x14ac:dyDescent="0.2">
      <c r="B18" s="310" t="s">
        <v>215</v>
      </c>
      <c r="C18" s="385">
        <v>2.384275060000002</v>
      </c>
      <c r="D18" s="387">
        <v>4.6346469599999978</v>
      </c>
      <c r="E18" s="387">
        <v>9.3269085290000007</v>
      </c>
      <c r="F18" s="387">
        <v>10.07811298</v>
      </c>
      <c r="G18" s="387">
        <v>7.8583473609999999</v>
      </c>
      <c r="H18" s="387">
        <v>7.5009675189999996</v>
      </c>
      <c r="I18" s="387">
        <v>9.7916456690000011</v>
      </c>
      <c r="J18" s="387">
        <v>6.6443150610000021</v>
      </c>
      <c r="K18" s="387">
        <v>9.2457454699999992</v>
      </c>
      <c r="L18" s="826">
        <v>8.3617631400000008</v>
      </c>
      <c r="N18" s="38"/>
      <c r="O18" s="71"/>
      <c r="P18" s="802"/>
      <c r="Q18" s="38"/>
      <c r="R18" s="70"/>
    </row>
    <row r="19" spans="2:18" s="9" customFormat="1" ht="24.75" customHeight="1" x14ac:dyDescent="0.2">
      <c r="B19" s="310" t="s">
        <v>75</v>
      </c>
      <c r="C19" s="385">
        <v>6.3150429799999994</v>
      </c>
      <c r="D19" s="387">
        <v>9.5400191999999997</v>
      </c>
      <c r="E19" s="387">
        <v>7.3300495800000007</v>
      </c>
      <c r="F19" s="387">
        <v>7.4460660599999997</v>
      </c>
      <c r="G19" s="387">
        <v>7.7682012</v>
      </c>
      <c r="H19" s="387">
        <v>7.9042192699999987</v>
      </c>
      <c r="I19" s="387">
        <v>8.3444409599999982</v>
      </c>
      <c r="J19" s="387">
        <v>8.942815030000002</v>
      </c>
      <c r="K19" s="387">
        <v>8.1878227599999995</v>
      </c>
      <c r="L19" s="826">
        <v>8.3731438399999973</v>
      </c>
      <c r="N19" s="38"/>
      <c r="O19" s="71"/>
      <c r="P19" s="802"/>
      <c r="Q19" s="38"/>
      <c r="R19" s="70"/>
    </row>
    <row r="20" spans="2:18" s="9" customFormat="1" ht="24.75" customHeight="1" x14ac:dyDescent="0.2">
      <c r="B20" s="310" t="s">
        <v>76</v>
      </c>
      <c r="C20" s="385">
        <v>24.069207430000006</v>
      </c>
      <c r="D20" s="387">
        <v>13.258684430000002</v>
      </c>
      <c r="E20" s="387">
        <v>12.814937989999997</v>
      </c>
      <c r="F20" s="387">
        <v>11.490254570000005</v>
      </c>
      <c r="G20" s="387">
        <v>27.367000000000001</v>
      </c>
      <c r="H20" s="387">
        <v>13.099143960000001</v>
      </c>
      <c r="I20" s="387">
        <v>11.789</v>
      </c>
      <c r="J20" s="387">
        <v>11.777259629999998</v>
      </c>
      <c r="K20" s="387">
        <v>29.11904187</v>
      </c>
      <c r="L20" s="826">
        <v>13.780408779999998</v>
      </c>
      <c r="N20" s="38"/>
      <c r="O20" s="71"/>
      <c r="P20" s="802"/>
      <c r="Q20" s="38"/>
      <c r="R20" s="70"/>
    </row>
    <row r="21" spans="2:18" s="9" customFormat="1" ht="24.75" customHeight="1" x14ac:dyDescent="0.2">
      <c r="B21" s="310" t="s">
        <v>77</v>
      </c>
      <c r="C21" s="385">
        <v>0.26867770000000002</v>
      </c>
      <c r="D21" s="387">
        <v>0.26867770000000002</v>
      </c>
      <c r="E21" s="387">
        <v>0.80603309999999995</v>
      </c>
      <c r="F21" s="387">
        <v>0.22339217</v>
      </c>
      <c r="G21" s="387">
        <v>0.31421676999999998</v>
      </c>
      <c r="H21" s="387">
        <v>0.25588345000000007</v>
      </c>
      <c r="I21" s="387">
        <v>0.25800000000000001</v>
      </c>
      <c r="J21" s="387">
        <v>0.25742524999999983</v>
      </c>
      <c r="K21" s="387">
        <v>0.29619306000000001</v>
      </c>
      <c r="L21" s="826">
        <v>0.29619306000000001</v>
      </c>
      <c r="N21" s="38"/>
      <c r="O21" s="71"/>
      <c r="P21" s="802"/>
      <c r="Q21" s="38"/>
      <c r="R21" s="70"/>
    </row>
    <row r="22" spans="2:18" s="9" customFormat="1" ht="24.75" customHeight="1" x14ac:dyDescent="0.2">
      <c r="B22" s="310" t="s">
        <v>559</v>
      </c>
      <c r="C22" s="385">
        <v>0.49982399999999999</v>
      </c>
      <c r="D22" s="387">
        <v>0.44047700000000001</v>
      </c>
      <c r="E22" s="387">
        <v>1.081002</v>
      </c>
      <c r="F22" s="387">
        <v>3.8690829999999998</v>
      </c>
      <c r="G22" s="387">
        <v>2.6168139900000003</v>
      </c>
      <c r="H22" s="387">
        <v>2.4826173599999994</v>
      </c>
      <c r="I22" s="387">
        <v>3.5400611799999999</v>
      </c>
      <c r="J22" s="387">
        <v>4.6593085800000011</v>
      </c>
      <c r="K22" s="387">
        <v>3.9592521700000001</v>
      </c>
      <c r="L22" s="826">
        <v>5.1087925100000016</v>
      </c>
      <c r="N22" s="38"/>
      <c r="O22" s="71"/>
      <c r="P22" s="802"/>
      <c r="Q22" s="38"/>
      <c r="R22" s="70"/>
    </row>
    <row r="23" spans="2:18" s="9" customFormat="1" ht="24.75" customHeight="1" x14ac:dyDescent="0.2">
      <c r="B23" s="310" t="s">
        <v>590</v>
      </c>
      <c r="C23" s="385"/>
      <c r="D23" s="387"/>
      <c r="E23" s="387"/>
      <c r="F23" s="387"/>
      <c r="G23" s="387">
        <v>0</v>
      </c>
      <c r="H23" s="387">
        <v>0</v>
      </c>
      <c r="I23" s="387">
        <v>0</v>
      </c>
      <c r="J23" s="387">
        <v>2.610738</v>
      </c>
      <c r="K23" s="387">
        <v>5.5662140000000004</v>
      </c>
      <c r="L23" s="826">
        <v>5.76852009</v>
      </c>
      <c r="N23" s="38"/>
      <c r="O23" s="71"/>
      <c r="P23" s="802"/>
      <c r="Q23" s="38"/>
      <c r="R23" s="70"/>
    </row>
    <row r="24" spans="2:18" s="9" customFormat="1" ht="24.75" customHeight="1" x14ac:dyDescent="0.2">
      <c r="B24" s="310" t="s">
        <v>587</v>
      </c>
      <c r="C24" s="385"/>
      <c r="D24" s="387"/>
      <c r="E24" s="387"/>
      <c r="F24" s="387"/>
      <c r="G24" s="387">
        <v>2.3590399999999998</v>
      </c>
      <c r="H24" s="387">
        <v>3.3609599999999999</v>
      </c>
      <c r="I24" s="387">
        <v>4.8479999999999999</v>
      </c>
      <c r="J24" s="387">
        <v>6.8119699999999996</v>
      </c>
      <c r="K24" s="387">
        <v>0</v>
      </c>
      <c r="L24" s="826">
        <v>0</v>
      </c>
      <c r="N24" s="38"/>
      <c r="O24" s="71"/>
      <c r="P24" s="802"/>
      <c r="Q24" s="38"/>
      <c r="R24" s="70"/>
    </row>
    <row r="25" spans="2:18" s="9" customFormat="1" ht="24.75" customHeight="1" x14ac:dyDescent="0.2">
      <c r="B25" s="310" t="s">
        <v>591</v>
      </c>
      <c r="C25" s="385">
        <v>23.820681160000003</v>
      </c>
      <c r="D25" s="387">
        <v>30.739034099999987</v>
      </c>
      <c r="E25" s="387">
        <v>29.407317591000055</v>
      </c>
      <c r="F25" s="387">
        <v>35.252407649999938</v>
      </c>
      <c r="G25" s="387">
        <v>30.173867678999997</v>
      </c>
      <c r="H25" s="387">
        <v>26.313495930999999</v>
      </c>
      <c r="I25" s="387">
        <v>25.976340840999999</v>
      </c>
      <c r="J25" s="387">
        <v>25.630268238999999</v>
      </c>
      <c r="K25" s="387">
        <v>32.289030310000001</v>
      </c>
      <c r="L25" s="826">
        <v>27.423911960000002</v>
      </c>
      <c r="N25" s="38"/>
      <c r="O25" s="71"/>
      <c r="P25" s="802"/>
      <c r="Q25" s="38"/>
      <c r="R25" s="70"/>
    </row>
    <row r="26" spans="2:18" s="9" customFormat="1" ht="24.75" customHeight="1" x14ac:dyDescent="0.2">
      <c r="B26" s="824" t="s">
        <v>73</v>
      </c>
      <c r="C26" s="825">
        <f>SUM(C16:C25)</f>
        <v>72.891067690000014</v>
      </c>
      <c r="D26" s="825">
        <f>SUM(D16:D25)</f>
        <v>73.255137369999986</v>
      </c>
      <c r="E26" s="825">
        <f t="shared" ref="E26:I26" si="1">SUM(E16:E25)</f>
        <v>75.398843890000052</v>
      </c>
      <c r="F26" s="825">
        <f t="shared" si="1"/>
        <v>81.563970509999933</v>
      </c>
      <c r="G26" s="825">
        <f t="shared" si="1"/>
        <v>93.729122719999992</v>
      </c>
      <c r="H26" s="825">
        <f t="shared" si="1"/>
        <v>76.031421330000001</v>
      </c>
      <c r="I26" s="825">
        <f t="shared" si="1"/>
        <v>78.382770739999998</v>
      </c>
      <c r="J26" s="825">
        <f t="shared" ref="J26" si="2">SUM(J16:J25)</f>
        <v>80.878059990000011</v>
      </c>
      <c r="K26" s="825">
        <f t="shared" ref="K26" si="3">SUM(K16:K25)</f>
        <v>103.69495258000001</v>
      </c>
      <c r="L26" s="825">
        <f>SUM(L16:L25)</f>
        <v>83.835071749999997</v>
      </c>
      <c r="N26" s="38"/>
      <c r="O26" s="71"/>
      <c r="P26" s="802"/>
      <c r="Q26" s="38"/>
      <c r="R26" s="70"/>
    </row>
    <row r="27" spans="2:18" ht="15" customHeight="1" x14ac:dyDescent="0.2">
      <c r="B27" s="417"/>
      <c r="C27" s="418"/>
      <c r="D27" s="418"/>
      <c r="E27" s="418"/>
      <c r="F27" s="418"/>
      <c r="G27" s="418"/>
      <c r="H27" s="418"/>
      <c r="I27" s="418"/>
      <c r="J27" s="418"/>
      <c r="K27" s="418"/>
      <c r="L27" s="418"/>
      <c r="M27" s="44"/>
      <c r="N27" s="38"/>
    </row>
    <row r="28" spans="2:18" ht="24" customHeight="1" x14ac:dyDescent="0.2">
      <c r="B28" s="821" t="s">
        <v>552</v>
      </c>
      <c r="C28" s="822" t="s">
        <v>256</v>
      </c>
      <c r="D28" s="822" t="s">
        <v>336</v>
      </c>
      <c r="E28" s="822" t="s">
        <v>371</v>
      </c>
      <c r="F28" s="822" t="s">
        <v>388</v>
      </c>
      <c r="G28" s="822" t="s">
        <v>413</v>
      </c>
      <c r="H28" s="822" t="s">
        <v>420</v>
      </c>
      <c r="I28" s="822" t="s">
        <v>460</v>
      </c>
      <c r="J28" s="822" t="s">
        <v>512</v>
      </c>
      <c r="K28" s="822" t="s">
        <v>645</v>
      </c>
      <c r="L28" s="822" t="s">
        <v>665</v>
      </c>
      <c r="M28" s="44"/>
      <c r="N28" s="38"/>
    </row>
    <row r="29" spans="2:18" ht="25.5" customHeight="1" x14ac:dyDescent="0.2">
      <c r="B29" s="310" t="s">
        <v>560</v>
      </c>
      <c r="C29" s="385">
        <v>28.523872999999998</v>
      </c>
      <c r="D29" s="385">
        <v>29.098357999999998</v>
      </c>
      <c r="E29" s="385">
        <v>30.172128739999994</v>
      </c>
      <c r="F29" s="385">
        <v>30.716003000000001</v>
      </c>
      <c r="G29" s="385">
        <v>30.612130000000001</v>
      </c>
      <c r="H29" s="385">
        <v>31.796411000000003</v>
      </c>
      <c r="I29" s="385">
        <v>32.730969000000002</v>
      </c>
      <c r="J29" s="387">
        <v>33.340471999999998</v>
      </c>
      <c r="K29" s="387">
        <v>31.694015</v>
      </c>
      <c r="L29" s="826">
        <v>32.869222000000008</v>
      </c>
      <c r="M29" s="44"/>
      <c r="N29" s="38"/>
      <c r="O29" s="71"/>
    </row>
    <row r="30" spans="2:18" ht="25.5" customHeight="1" x14ac:dyDescent="0.2">
      <c r="B30" s="310" t="s">
        <v>510</v>
      </c>
      <c r="C30" s="385">
        <v>9.1127E-2</v>
      </c>
      <c r="D30" s="385">
        <v>9.5641999999999991E-2</v>
      </c>
      <c r="E30" s="385">
        <v>0.37910799999999995</v>
      </c>
      <c r="F30" s="385">
        <v>-0.15800299999999995</v>
      </c>
      <c r="G30" s="385">
        <v>0.53886999999999996</v>
      </c>
      <c r="H30" s="385">
        <v>0.556589</v>
      </c>
      <c r="I30" s="385">
        <v>0.64603100000000002</v>
      </c>
      <c r="J30" s="387">
        <v>0.94329399999999985</v>
      </c>
      <c r="K30" s="387">
        <v>0.73558999999999997</v>
      </c>
      <c r="L30" s="826">
        <v>0.92956499999999997</v>
      </c>
      <c r="M30" s="44"/>
      <c r="N30" s="38"/>
      <c r="O30" s="71"/>
    </row>
    <row r="31" spans="2:18" ht="25.5" customHeight="1" x14ac:dyDescent="0.2">
      <c r="B31" s="310" t="s">
        <v>590</v>
      </c>
      <c r="C31" s="385"/>
      <c r="D31" s="385"/>
      <c r="E31" s="385"/>
      <c r="F31" s="385"/>
      <c r="G31" s="385"/>
      <c r="H31" s="385"/>
      <c r="I31" s="385"/>
      <c r="J31" s="387">
        <v>0.39323399999999997</v>
      </c>
      <c r="K31" s="387">
        <v>1.243395</v>
      </c>
      <c r="L31" s="826">
        <v>1.1482130000000002</v>
      </c>
      <c r="M31" s="44"/>
      <c r="N31" s="38"/>
      <c r="O31" s="71"/>
    </row>
    <row r="32" spans="2:18" ht="24" customHeight="1" x14ac:dyDescent="0.2">
      <c r="B32" s="824" t="s">
        <v>561</v>
      </c>
      <c r="C32" s="825">
        <f>SUM(C29:C31)</f>
        <v>28.614999999999998</v>
      </c>
      <c r="D32" s="825">
        <f t="shared" ref="D32:I32" si="4">SUM(D29:D31)</f>
        <v>29.193999999999999</v>
      </c>
      <c r="E32" s="825">
        <f t="shared" si="4"/>
        <v>30.551236739999993</v>
      </c>
      <c r="F32" s="825">
        <f t="shared" si="4"/>
        <v>30.558</v>
      </c>
      <c r="G32" s="825">
        <f t="shared" si="4"/>
        <v>31.151</v>
      </c>
      <c r="H32" s="825">
        <f t="shared" si="4"/>
        <v>32.353000000000002</v>
      </c>
      <c r="I32" s="825">
        <f t="shared" si="4"/>
        <v>33.377000000000002</v>
      </c>
      <c r="J32" s="825">
        <f>SUM(J29:J31)</f>
        <v>34.677</v>
      </c>
      <c r="K32" s="825">
        <f>SUM(K29:K31)</f>
        <v>33.673000000000002</v>
      </c>
      <c r="L32" s="825">
        <f>SUM(L29:L31)</f>
        <v>34.947000000000003</v>
      </c>
      <c r="M32" s="44"/>
      <c r="N32" s="38"/>
    </row>
    <row r="33" spans="2:15" ht="15" customHeight="1" x14ac:dyDescent="0.2">
      <c r="B33" s="827"/>
      <c r="C33" s="464"/>
      <c r="D33" s="464"/>
      <c r="E33" s="464"/>
      <c r="F33" s="464"/>
      <c r="G33" s="464"/>
      <c r="H33" s="464"/>
      <c r="I33" s="464"/>
      <c r="J33" s="464"/>
      <c r="K33" s="464"/>
      <c r="L33" s="464"/>
      <c r="M33" s="44"/>
      <c r="N33" s="38"/>
    </row>
    <row r="34" spans="2:15" ht="20.25" customHeight="1" x14ac:dyDescent="0.2">
      <c r="B34" s="824" t="s">
        <v>562</v>
      </c>
      <c r="C34" s="825">
        <f>C13+C26+C32</f>
        <v>202.37406769</v>
      </c>
      <c r="D34" s="825">
        <f t="shared" ref="D34:I34" si="5">D13+D26+D32</f>
        <v>203.25113736999998</v>
      </c>
      <c r="E34" s="825">
        <f t="shared" si="5"/>
        <v>207.60493588000003</v>
      </c>
      <c r="F34" s="825">
        <f t="shared" si="5"/>
        <v>263.84097050999992</v>
      </c>
      <c r="G34" s="825">
        <f t="shared" si="5"/>
        <v>223.97312271999999</v>
      </c>
      <c r="H34" s="825">
        <f t="shared" si="5"/>
        <v>211.84742133</v>
      </c>
      <c r="I34" s="825">
        <f t="shared" si="5"/>
        <v>211.20277074000001</v>
      </c>
      <c r="J34" s="825">
        <f>J13+J26+J32</f>
        <v>255.99023874000002</v>
      </c>
      <c r="K34" s="825">
        <f>K13+K26+K32</f>
        <v>246.04995258000002</v>
      </c>
      <c r="L34" s="825">
        <f>L13+L26+L32</f>
        <v>244.31607174999999</v>
      </c>
      <c r="M34" s="44"/>
      <c r="N34" s="38"/>
      <c r="O34" s="71"/>
    </row>
    <row r="35" spans="2:15" ht="15" customHeight="1" x14ac:dyDescent="0.2">
      <c r="B35" s="417"/>
      <c r="C35" s="418"/>
      <c r="D35" s="418"/>
      <c r="E35" s="418"/>
      <c r="F35" s="418"/>
      <c r="G35" s="418"/>
      <c r="H35" s="418"/>
      <c r="I35" s="418"/>
      <c r="J35" s="418"/>
      <c r="K35" s="418"/>
      <c r="L35" s="418"/>
      <c r="M35" s="44"/>
      <c r="N35" s="38"/>
    </row>
    <row r="36" spans="2:15" ht="17.25" customHeight="1" x14ac:dyDescent="0.2">
      <c r="B36" s="1109" t="s">
        <v>592</v>
      </c>
      <c r="C36" s="1109"/>
      <c r="D36" s="311"/>
      <c r="E36" s="311"/>
      <c r="F36" s="311"/>
      <c r="G36" s="311"/>
      <c r="H36" s="311"/>
      <c r="I36" s="311"/>
      <c r="J36" s="311"/>
      <c r="K36" s="311"/>
      <c r="L36" s="311"/>
    </row>
    <row r="37" spans="2:15" ht="15" customHeight="1" x14ac:dyDescent="0.2">
      <c r="B37" s="1109" t="s">
        <v>589</v>
      </c>
      <c r="C37" s="1109"/>
      <c r="D37" s="1109"/>
      <c r="E37" s="1109"/>
      <c r="F37" s="1109"/>
      <c r="G37" s="1109"/>
      <c r="H37" s="1109"/>
      <c r="I37" s="1109"/>
      <c r="J37" s="1109"/>
      <c r="K37" s="1109"/>
      <c r="L37" s="1109"/>
    </row>
    <row r="38" spans="2:15" ht="15.75" customHeight="1" x14ac:dyDescent="0.2">
      <c r="B38" s="1109"/>
      <c r="C38" s="1109"/>
      <c r="D38" s="1109"/>
      <c r="E38" s="1109"/>
      <c r="F38" s="1109"/>
      <c r="G38" s="1109"/>
      <c r="H38" s="1109"/>
      <c r="I38" s="1109"/>
      <c r="J38" s="1109"/>
      <c r="K38" s="1109"/>
      <c r="L38" s="1109"/>
    </row>
    <row r="39" spans="2:15" ht="24.75" customHeight="1" x14ac:dyDescent="0.2">
      <c r="B39" s="37"/>
      <c r="C39" s="37"/>
      <c r="D39" s="37"/>
      <c r="E39" s="37"/>
      <c r="F39" s="37"/>
      <c r="G39" s="37"/>
      <c r="H39" s="37"/>
      <c r="I39" s="37"/>
      <c r="J39" s="37"/>
      <c r="K39" s="37"/>
      <c r="L39" s="37"/>
    </row>
    <row r="40" spans="2:15" x14ac:dyDescent="0.2">
      <c r="F40" s="858"/>
      <c r="G40" s="858"/>
      <c r="H40" s="858"/>
      <c r="I40" s="858"/>
      <c r="J40" s="858"/>
      <c r="K40" s="858"/>
      <c r="L40" s="858"/>
    </row>
  </sheetData>
  <mergeCells count="4">
    <mergeCell ref="B5:L5"/>
    <mergeCell ref="B37:L37"/>
    <mergeCell ref="B38:L38"/>
    <mergeCell ref="B36:C36"/>
  </mergeCells>
  <hyperlinks>
    <hyperlink ref="L2" location="'Cover '!A1" display="Back to Cover" xr:uid="{7D25B963-41F9-47CA-8282-B5E2D66E19C1}"/>
  </hyperlinks>
  <pageMargins left="0.7" right="0.7" top="0.75" bottom="0.75" header="0.3" footer="0.3"/>
  <pageSetup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29</vt:i4>
      </vt:variant>
    </vt:vector>
  </HeadingPairs>
  <TitlesOfParts>
    <vt:vector size="52" baseType="lpstr">
      <vt:lpstr>Cover </vt:lpstr>
      <vt:lpstr>Financial highlights</vt:lpstr>
      <vt:lpstr>EPS calculations</vt:lpstr>
      <vt:lpstr>Balance sheet</vt:lpstr>
      <vt:lpstr> Analysis of selected BS items</vt:lpstr>
      <vt:lpstr>PL</vt:lpstr>
      <vt:lpstr>NII</vt:lpstr>
      <vt:lpstr>NFI</vt:lpstr>
      <vt:lpstr>OPEX</vt:lpstr>
      <vt:lpstr>PL segment view</vt:lpstr>
      <vt:lpstr>PL Snappi</vt:lpstr>
      <vt:lpstr>Net credit expansion</vt:lpstr>
      <vt:lpstr>Performing loans</vt:lpstr>
      <vt:lpstr>Loan portfolio quality</vt:lpstr>
      <vt:lpstr>IFRS9 stages</vt:lpstr>
      <vt:lpstr>NPE flow decomposition</vt:lpstr>
      <vt:lpstr>Capital adequacy</vt:lpstr>
      <vt:lpstr>Ethniki Insurance</vt:lpstr>
      <vt:lpstr>Debt securities</vt:lpstr>
      <vt:lpstr>Synthetic securitizations</vt:lpstr>
      <vt:lpstr>Dividends &amp; share buy back</vt:lpstr>
      <vt:lpstr>Customers' data</vt:lpstr>
      <vt:lpstr>Other information</vt:lpstr>
      <vt:lpstr>NPE_flow_decomposition</vt:lpstr>
      <vt:lpstr>' Analysis of selected BS items'!Print_Area</vt:lpstr>
      <vt:lpstr>'Balance sheet'!Print_Area</vt:lpstr>
      <vt:lpstr>'Capital adequacy'!Print_Area</vt:lpstr>
      <vt:lpstr>'Cover '!Print_Area</vt:lpstr>
      <vt:lpstr>'Customers'' data'!Print_Area</vt:lpstr>
      <vt:lpstr>'Debt securities'!Print_Area</vt:lpstr>
      <vt:lpstr>'Dividends &amp; share buy back'!Print_Area</vt:lpstr>
      <vt:lpstr>'EPS calculations'!Print_Area</vt:lpstr>
      <vt:lpstr>'Ethniki Insurance'!Print_Area</vt:lpstr>
      <vt:lpstr>'Financial highlights'!Print_Area</vt:lpstr>
      <vt:lpstr>'IFRS9 stages'!Print_Area</vt:lpstr>
      <vt:lpstr>'Loan portfolio quality'!Print_Area</vt:lpstr>
      <vt:lpstr>'Net credit expansion'!Print_Area</vt:lpstr>
      <vt:lpstr>NFI!Print_Area</vt:lpstr>
      <vt:lpstr>NII!Print_Area</vt:lpstr>
      <vt:lpstr>'NPE flow decomposition'!Print_Area</vt:lpstr>
      <vt:lpstr>OPEX!Print_Area</vt:lpstr>
      <vt:lpstr>'Other information'!Print_Area</vt:lpstr>
      <vt:lpstr>'Performing loans'!Print_Area</vt:lpstr>
      <vt:lpstr>PL!Print_Area</vt:lpstr>
      <vt:lpstr>'PL segment view'!Print_Area</vt:lpstr>
      <vt:lpstr>'PL Snappi'!Print_Area</vt:lpstr>
      <vt:lpstr>'Synthetic securitizations'!Print_Area</vt:lpstr>
      <vt:lpstr>'Capital adequacy'!Print_Titles</vt:lpstr>
      <vt:lpstr>'Other information'!Print_Titles</vt:lpstr>
      <vt:lpstr>PL!Print_Titles</vt:lpstr>
      <vt:lpstr>'PL segment view'!Print_Titles</vt:lpstr>
      <vt:lpstr>'PL Snappi'!Print_Titles</vt:lpstr>
    </vt:vector>
  </TitlesOfParts>
  <Company>PIRAEUSBANK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Piraeus Bank Results</dc:title>
  <dc:creator>IR@piraeusholdings.gr</dc:creator>
  <cp:keywords>2014</cp:keywords>
  <cp:lastModifiedBy>Papageorgiou Evangelia</cp:lastModifiedBy>
  <cp:lastPrinted>2026-07-23T08:13:03Z</cp:lastPrinted>
  <dcterms:created xsi:type="dcterms:W3CDTF">2005-02-23T10:11:28Z</dcterms:created>
  <dcterms:modified xsi:type="dcterms:W3CDTF">2026-07-29T09:57:55Z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958c1004-b24f-4bde-8aad-2ae45b2e013d_Enabled">
    <vt:lpwstr>true</vt:lpwstr>
  </property>
  <property fmtid="{D5CDD505-2E9C-101B-9397-08002B2CF9AE}" pid="4" name="MSIP_Label_958c1004-b24f-4bde-8aad-2ae45b2e013d_SetDate">
    <vt:lpwstr>2022-05-04T13:11:18Z</vt:lpwstr>
  </property>
  <property fmtid="{D5CDD505-2E9C-101B-9397-08002B2CF9AE}" pid="5" name="MSIP_Label_958c1004-b24f-4bde-8aad-2ae45b2e013d_Method">
    <vt:lpwstr>Standard</vt:lpwstr>
  </property>
  <property fmtid="{D5CDD505-2E9C-101B-9397-08002B2CF9AE}" pid="6" name="MSIP_Label_958c1004-b24f-4bde-8aad-2ae45b2e013d_Name">
    <vt:lpwstr>Internal Use</vt:lpwstr>
  </property>
  <property fmtid="{D5CDD505-2E9C-101B-9397-08002B2CF9AE}" pid="7" name="MSIP_Label_958c1004-b24f-4bde-8aad-2ae45b2e013d_SiteId">
    <vt:lpwstr>4f1b3dbb-846d-4206-92b5-ac1cf048dbb2</vt:lpwstr>
  </property>
  <property fmtid="{D5CDD505-2E9C-101B-9397-08002B2CF9AE}" pid="8" name="MSIP_Label_958c1004-b24f-4bde-8aad-2ae45b2e013d_ActionId">
    <vt:lpwstr>8a4fb628-3f3e-4ff6-962d-dc00159c9c3e</vt:lpwstr>
  </property>
  <property fmtid="{D5CDD505-2E9C-101B-9397-08002B2CF9AE}" pid="9" name="MSIP_Label_958c1004-b24f-4bde-8aad-2ae45b2e013d_ContentBits">
    <vt:lpwstr>0</vt:lpwstr>
  </property>
</Properties>
</file>